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65" yWindow="225" windowWidth="12120" windowHeight="8145" tabRatio="681" activeTab="3"/>
  </bookViews>
  <sheets>
    <sheet name="Start" sheetId="1" r:id="rId1"/>
    <sheet name="Territory generator" sheetId="2" r:id="rId2"/>
    <sheet name="Fiefdom generator" sheetId="3" r:id="rId3"/>
    <sheet name="Settlement generator" sheetId="4" r:id="rId4"/>
    <sheet name="Data_Temples" sheetId="5" r:id="rId5"/>
    <sheet name="Data_Inns names" sheetId="6" r:id="rId6"/>
    <sheet name="Data_Worker costs" sheetId="7" r:id="rId7"/>
    <sheet name="Oerth demographics" sheetId="8" r:id="rId8"/>
    <sheet name="Population by age" sheetId="9" r:id="rId9"/>
  </sheets>
  <definedNames>
    <definedName name="_xlnm.Print_Area" localSheetId="2">'Fiefdom generator'!$A$1:$D$70</definedName>
    <definedName name="_xlnm.Print_Area" localSheetId="3">'Settlement generator'!$A$1:$G$173</definedName>
    <definedName name="_xlnm.Print_Area" localSheetId="1">'Territory generator'!$A$1:$G$37</definedName>
  </definedNames>
  <calcPr fullCalcOnLoad="1"/>
</workbook>
</file>

<file path=xl/comments2.xml><?xml version="1.0" encoding="utf-8"?>
<comments xmlns="http://schemas.openxmlformats.org/spreadsheetml/2006/main">
  <authors>
    <author>richd</author>
    <author>Di Ioia, Richard</author>
    <author>Richard</author>
  </authors>
  <commentList>
    <comment ref="B17" authorId="0">
      <text>
        <r>
          <rPr>
            <b/>
            <sz val="8"/>
            <rFont val="Tahoma"/>
            <family val="2"/>
          </rPr>
          <t>assuming approximately triangular distribution of settlement sizes.</t>
        </r>
      </text>
    </comment>
    <comment ref="A15" authorId="0">
      <text>
        <r>
          <rPr>
            <b/>
            <sz val="8"/>
            <rFont val="Tahoma"/>
            <family val="2"/>
          </rPr>
          <t>These are hamlets, villages, lone farms, hunters, small family communities, etc.</t>
        </r>
      </text>
    </comment>
    <comment ref="D7" authorId="1">
      <text>
        <r>
          <rPr>
            <b/>
            <sz val="9"/>
            <rFont val="Tahoma"/>
            <family val="2"/>
          </rPr>
          <t>This includes humans, demi-humans, etc.</t>
        </r>
      </text>
    </comment>
    <comment ref="D8" authorId="1">
      <text>
        <r>
          <rPr>
            <b/>
            <sz val="9"/>
            <rFont val="Tahoma"/>
            <family val="2"/>
          </rPr>
          <t>This includes humans, demi-humans, etc.</t>
        </r>
      </text>
    </comment>
    <comment ref="A14" authorId="1">
      <text>
        <r>
          <rPr>
            <b/>
            <sz val="9"/>
            <rFont val="Tahoma"/>
            <family val="2"/>
          </rPr>
          <t>This includes anything the size of a small town or larger. The numbers include the farmers that live in settlements, as well as craftsmen and others.</t>
        </r>
      </text>
    </comment>
    <comment ref="A5" authorId="2">
      <text>
        <r>
          <rPr>
            <b/>
            <sz val="9"/>
            <rFont val="Tahoma"/>
            <family val="0"/>
          </rPr>
          <t>Medieval Europe had a population density of 8 people per km2.</t>
        </r>
      </text>
    </comment>
    <comment ref="G4" authorId="2">
      <text>
        <r>
          <rPr>
            <b/>
            <sz val="9"/>
            <rFont val="Tahoma"/>
            <family val="2"/>
          </rPr>
          <t>250 acres per km2</t>
        </r>
      </text>
    </comment>
    <comment ref="C12" authorId="2">
      <text>
        <r>
          <rPr>
            <b/>
            <sz val="9"/>
            <rFont val="Tahoma"/>
            <family val="2"/>
          </rPr>
          <t>Average for the whole territory.</t>
        </r>
      </text>
    </comment>
    <comment ref="B14" authorId="2">
      <text>
        <r>
          <rPr>
            <b/>
            <sz val="9"/>
            <rFont val="Tahoma"/>
            <family val="0"/>
          </rPr>
          <t>Usually 1/3 of the population in a medieval country live in urban areas.</t>
        </r>
      </text>
    </comment>
    <comment ref="B15" authorId="2">
      <text>
        <r>
          <rPr>
            <b/>
            <sz val="9"/>
            <rFont val="Tahoma"/>
            <family val="0"/>
          </rPr>
          <t>In medieval fantasy roughly 2/3 of the population live in rural areas.</t>
        </r>
      </text>
    </comment>
  </commentList>
</comments>
</file>

<file path=xl/comments3.xml><?xml version="1.0" encoding="utf-8"?>
<comments xmlns="http://schemas.openxmlformats.org/spreadsheetml/2006/main">
  <authors>
    <author>Di Ioia, Richard</author>
    <author>Renee Yardley</author>
    <author>Richard</author>
    <author>Richard DiIoia</author>
  </authors>
  <commentList>
    <comment ref="C14" authorId="0">
      <text>
        <r>
          <rPr>
            <sz val="9"/>
            <rFont val="Tahoma"/>
            <family val="2"/>
          </rPr>
          <t>This includes humans, demi-humans, etc.
Medieval Europe population density was 8 people per km2.</t>
        </r>
      </text>
    </comment>
    <comment ref="G50" authorId="0">
      <text>
        <r>
          <rPr>
            <sz val="9"/>
            <rFont val="Tahoma"/>
            <family val="2"/>
          </rPr>
          <t>Company is 100 people.
- 3x platoons per company
- 1 Captain</t>
        </r>
        <r>
          <rPr>
            <b/>
            <sz val="9"/>
            <rFont val="Tahoma"/>
            <family val="2"/>
          </rPr>
          <t xml:space="preserve">
</t>
        </r>
      </text>
    </comment>
    <comment ref="G52" authorId="0">
      <text>
        <r>
          <rPr>
            <sz val="9"/>
            <rFont val="Tahoma"/>
            <family val="2"/>
          </rPr>
          <t>Squad is 8 people.
- 7 Regular troops
- 1 Sergeant</t>
        </r>
      </text>
    </comment>
    <comment ref="G51" authorId="0">
      <text>
        <r>
          <rPr>
            <sz val="9"/>
            <rFont val="Tahoma"/>
            <family val="2"/>
          </rPr>
          <t xml:space="preserve">Platoon is 33 people.
- 4x Squads per Platoons
- 1x Lieutenant
</t>
        </r>
      </text>
    </comment>
    <comment ref="F49" authorId="0">
      <text>
        <r>
          <rPr>
            <b/>
            <sz val="9"/>
            <rFont val="Tahoma"/>
            <family val="2"/>
          </rPr>
          <t>Soldiers get free room (baracks) and food in addition to their yearly salary.</t>
        </r>
      </text>
    </comment>
    <comment ref="F58" authorId="1">
      <text>
        <r>
          <rPr>
            <sz val="9"/>
            <rFont val="Tahoma"/>
            <family val="2"/>
          </rPr>
          <t>Assumes craftsmen are hired on a temporary basis and not provided with food, lodging or faciities.</t>
        </r>
      </text>
    </comment>
    <comment ref="A58" authorId="1">
      <text>
        <r>
          <rPr>
            <sz val="9"/>
            <rFont val="Tahoma"/>
            <family val="2"/>
          </rPr>
          <t>Craftsmen hired by the noble to perform duties on a temporary basis. Includes blacksmiths, cobblers, tailors, etc.
This covers not only the needs of the lord but their servants as well.</t>
        </r>
      </text>
    </comment>
    <comment ref="A62" authorId="1">
      <text>
        <r>
          <rPr>
            <sz val="9"/>
            <rFont val="Tahoma"/>
            <family val="2"/>
          </rPr>
          <t>To provide food, work clothing, equipment, weapons, etc for all full time charges employed by the noble. Most of the items provided for the direct charges of the lord comes from tithes taken from the craftsmen of the fiefdom.
Soldiers &amp; Servitors: Assume that the lord needs to cover about 2000 cp worth of food and accessories per person directly employed.
- Each adult eats 3 acres a year plus some meat (1400 cp).
- Clothing costs 300 cp/year
- Equip costs 300 cp/year
Servants: assume the lord provides poor food, cheap lodging and basic clothing. 1000 cp/year.</t>
        </r>
      </text>
    </comment>
    <comment ref="B13" authorId="0">
      <text>
        <r>
          <rPr>
            <sz val="9"/>
            <rFont val="Tahoma"/>
            <family val="2"/>
          </rPr>
          <t>Manorial lord = 0 km2
Earl = average 8,000 km2
Count = average 60,000 km2</t>
        </r>
        <r>
          <rPr>
            <b/>
            <sz val="9"/>
            <rFont val="Tahoma"/>
            <family val="2"/>
          </rPr>
          <t xml:space="preserve">
</t>
        </r>
      </text>
    </comment>
    <comment ref="A44" authorId="0">
      <text>
        <r>
          <rPr>
            <sz val="9"/>
            <rFont val="Tahoma"/>
            <family val="2"/>
          </rPr>
          <t xml:space="preserve">Roads, cutting back bushes, watchtowers, etc.
</t>
        </r>
      </text>
    </comment>
    <comment ref="D63" authorId="0">
      <text>
        <r>
          <rPr>
            <sz val="9"/>
            <rFont val="Tahoma"/>
            <family val="2"/>
          </rPr>
          <t xml:space="preserve">This is the number of servitors and soldiers that can be supported by the amount of funds allocated to this cost category.
</t>
        </r>
      </text>
    </comment>
    <comment ref="A35" authorId="2">
      <text>
        <r>
          <rPr>
            <b/>
            <sz val="9"/>
            <rFont val="Tahoma"/>
            <family val="2"/>
          </rPr>
          <t>To High Nobles &amp; King.</t>
        </r>
      </text>
    </comment>
    <comment ref="A36" authorId="2">
      <text>
        <r>
          <rPr>
            <b/>
            <sz val="9"/>
            <rFont val="Tahoma"/>
            <family val="2"/>
          </rPr>
          <t>5% of revenue</t>
        </r>
      </text>
    </comment>
    <comment ref="A37" authorId="2">
      <text>
        <r>
          <rPr>
            <b/>
            <sz val="9"/>
            <rFont val="Tahoma"/>
            <family val="2"/>
          </rPr>
          <t>Earl takes 2.5%
Count/Baron/Viscount takes 0.7%</t>
        </r>
      </text>
    </comment>
    <comment ref="B28" authorId="0">
      <text>
        <r>
          <rPr>
            <sz val="9"/>
            <rFont val="Tahoma"/>
            <family val="2"/>
          </rPr>
          <t xml:space="preserve">Craftsmen only pay half tithe since they provide their own tools, shops, etc. This works out to 2 days per month of service.
</t>
        </r>
      </text>
    </comment>
    <comment ref="C7" authorId="0">
      <text>
        <r>
          <rPr>
            <sz val="9"/>
            <rFont val="Tahoma"/>
            <family val="2"/>
          </rPr>
          <t>This includes humans, demi-humans, etc.
Medieval density over large areas was 3 people per km2.</t>
        </r>
      </text>
    </comment>
    <comment ref="B6" authorId="0">
      <text>
        <r>
          <rPr>
            <sz val="9"/>
            <rFont val="Tahoma"/>
            <family val="2"/>
          </rPr>
          <t>Manorial Lord= average 850 km2
Earl = average 1,700 km2
Count = average 3,400 km2</t>
        </r>
        <r>
          <rPr>
            <b/>
            <sz val="9"/>
            <rFont val="Tahoma"/>
            <family val="2"/>
          </rPr>
          <t xml:space="preserve">
</t>
        </r>
      </text>
    </comment>
    <comment ref="D29" authorId="0">
      <text>
        <r>
          <rPr>
            <sz val="9"/>
            <rFont val="Tahoma"/>
            <family val="2"/>
          </rPr>
          <t>This is typically a 25% increase on their basic tithes and includes:
- businesses they own.
- Windmill rental fees
- Horse breeding.
- Sale of art they personally create.
- Hunting 
- Fines and tolls levied</t>
        </r>
        <r>
          <rPr>
            <b/>
            <sz val="9"/>
            <rFont val="Tahoma"/>
            <family val="2"/>
          </rPr>
          <t xml:space="preserve">
</t>
        </r>
      </text>
    </comment>
    <comment ref="D27" authorId="3">
      <text>
        <r>
          <rPr>
            <b/>
            <sz val="9"/>
            <rFont val="Tahoma"/>
            <family val="2"/>
          </rPr>
          <t>The yearly produce of one acre of farmland is worth 4 gp.</t>
        </r>
      </text>
    </comment>
    <comment ref="A64" authorId="3">
      <text>
        <r>
          <rPr>
            <sz val="9"/>
            <rFont val="Tahoma"/>
            <family val="2"/>
          </rPr>
          <t xml:space="preserve">Usually two Servants per Servitor.
A Servant is an untrained employee that works for a lord doing predominantly menial tasks. This would include scullery maid, scullions, spit-boys, undercooks, ewerer, naperer, etc. </t>
        </r>
      </text>
    </comment>
    <comment ref="A3" authorId="2">
      <text>
        <r>
          <rPr>
            <sz val="9"/>
            <rFont val="Tahoma"/>
            <family val="2"/>
          </rPr>
          <t>Only three levels of peerage to select from:
1- Manorial lord is the lowest level; owns only their own land.
2- Earl is the mid level and has manorial lords under his peerage.
3- Duke is the highest level under the king.</t>
        </r>
      </text>
    </comment>
    <comment ref="B42" authorId="0">
      <text>
        <r>
          <rPr>
            <sz val="9"/>
            <rFont val="Tahoma"/>
            <family val="2"/>
          </rPr>
          <t>This is roughly 10% of the value of the manor and includes:
- Food for the noble family
- Entertaining guests
- Repairs to the residence
- Decorations
- Improvements
- Furnishing
- Yearly utilities (logs for heating)</t>
        </r>
      </text>
    </comment>
    <comment ref="C40" authorId="0">
      <text>
        <r>
          <rPr>
            <sz val="9"/>
            <rFont val="Tahoma"/>
            <family val="2"/>
          </rPr>
          <t>The lord wil spend 10% of their revenue on their residence maintenance and personal lifestyle.</t>
        </r>
      </text>
    </comment>
    <comment ref="C44" authorId="2">
      <text>
        <r>
          <rPr>
            <b/>
            <sz val="9"/>
            <rFont val="Tahoma"/>
            <family val="2"/>
          </rPr>
          <t>Usually 5% for civilized areas. More for taming wilderness areas.</t>
        </r>
      </text>
    </comment>
    <comment ref="C47" authorId="2">
      <text>
        <r>
          <rPr>
            <b/>
            <sz val="9"/>
            <rFont val="Tahoma"/>
            <family val="2"/>
          </rPr>
          <t>Average noble household will spend 3% of its revenue on servitors.</t>
        </r>
      </text>
    </comment>
    <comment ref="C51" authorId="2">
      <text>
        <r>
          <rPr>
            <sz val="9"/>
            <rFont val="Tahoma"/>
            <family val="2"/>
          </rPr>
          <t>Average civilized fiefdom will spend 45% of its revenue on soldiers.</t>
        </r>
      </text>
    </comment>
    <comment ref="C58" authorId="2">
      <text>
        <r>
          <rPr>
            <b/>
            <sz val="9"/>
            <rFont val="Tahoma"/>
            <family val="2"/>
          </rPr>
          <t>Usually 4% of the revenue.</t>
        </r>
      </text>
    </comment>
    <comment ref="C62" authorId="2">
      <text>
        <r>
          <rPr>
            <b/>
            <sz val="9"/>
            <rFont val="Tahoma"/>
            <family val="2"/>
          </rPr>
          <t>Average noble spends 4% of its revenue on servants accessories.</t>
        </r>
      </text>
    </comment>
    <comment ref="A47" authorId="2">
      <text>
        <r>
          <rPr>
            <sz val="9"/>
            <rFont val="Tahoma"/>
            <family val="2"/>
          </rPr>
          <t xml:space="preserve">A Servitor holds a position of responsibility and is trained in a particular role. Some of the Servitors are usually lesser nobles or family members that serve in a different household. This would include Senechal, Chamberlain, Steward, Marshal. Other Servitors are freemen with a particular skillset. </t>
        </r>
      </text>
    </comment>
  </commentList>
</comments>
</file>

<file path=xl/comments4.xml><?xml version="1.0" encoding="utf-8"?>
<comments xmlns="http://schemas.openxmlformats.org/spreadsheetml/2006/main">
  <authors>
    <author>Richard  DI Ioia</author>
    <author>richd</author>
    <author>Richard</author>
    <author>Di Ioia, Richard</author>
    <author>Administrator acct</author>
  </authors>
  <commentList>
    <comment ref="A73" authorId="0">
      <text>
        <r>
          <rPr>
            <sz val="8"/>
            <rFont val="Tahoma"/>
            <family val="2"/>
          </rPr>
          <t>Torches
Bags
Small tools
Useful stuff</t>
        </r>
      </text>
    </comment>
    <comment ref="A112" authorId="0">
      <text>
        <r>
          <rPr>
            <sz val="8"/>
            <rFont val="Tahoma"/>
            <family val="2"/>
          </rPr>
          <t>Sells herbs and poultices</t>
        </r>
      </text>
    </comment>
    <comment ref="A67" authorId="1">
      <text>
        <r>
          <rPr>
            <sz val="8"/>
            <rFont val="Tahoma"/>
            <family val="2"/>
          </rPr>
          <t>This includes strong  gatehouses, towers and other defensive fortifications.</t>
        </r>
      </text>
    </comment>
    <comment ref="A51" authorId="1">
      <text>
        <r>
          <rPr>
            <sz val="8"/>
            <rFont val="Tahoma"/>
            <family val="2"/>
          </rPr>
          <t>This includes a central market area, small stalls, etc.
The total size of the markets square, districts, plaza's etc is based on the population of the settlement.</t>
        </r>
      </text>
    </comment>
    <comment ref="A65" authorId="1">
      <text>
        <r>
          <rPr>
            <sz val="8"/>
            <rFont val="Tahoma"/>
            <family val="2"/>
          </rPr>
          <t>This means a well constructed roadway and/or bridge of around 200 meters long and 5 meters wide.</t>
        </r>
      </text>
    </comment>
    <comment ref="A70" authorId="1">
      <text>
        <r>
          <rPr>
            <sz val="8"/>
            <rFont val="Tahoma"/>
            <family val="2"/>
          </rPr>
          <t>Wooden or stone watchtowers, natural overlooks, guardposts. Sturctures either within or outside of the settlement proper.</t>
        </r>
      </text>
    </comment>
    <comment ref="A89" authorId="1">
      <text>
        <r>
          <rPr>
            <sz val="8"/>
            <rFont val="Tahoma"/>
            <family val="2"/>
          </rPr>
          <t xml:space="preserve">Includes leatherers, hide workers, and any craftsman that works with animal skins. </t>
        </r>
      </text>
    </comment>
    <comment ref="A93" authorId="1">
      <text>
        <r>
          <rPr>
            <sz val="8"/>
            <rFont val="Tahoma"/>
            <family val="2"/>
          </rPr>
          <t>Includes stone workers &amp; sculpters for large projects. Roads, buildings, bridges, statues.</t>
        </r>
      </text>
    </comment>
    <comment ref="A109" authorId="1">
      <text>
        <r>
          <rPr>
            <sz val="8"/>
            <rFont val="Tahoma"/>
            <family val="2"/>
          </rPr>
          <t>Make bows, arrows and quarrels</t>
        </r>
      </text>
    </comment>
    <comment ref="A126" authorId="1">
      <text>
        <r>
          <rPr>
            <sz val="8"/>
            <rFont val="Tahoma"/>
            <family val="2"/>
          </rPr>
          <t>Includes Painters, sculpters, poets, etc.</t>
        </r>
      </text>
    </comment>
    <comment ref="A45" authorId="1">
      <text>
        <r>
          <rPr>
            <sz val="8"/>
            <rFont val="Tahoma"/>
            <family val="2"/>
          </rPr>
          <t xml:space="preserve">Includes able-bodied acolytes, priests, paladins, holy brothers, etc. Approximately 40% of clergy are acolytes or new clergy (i.e. Spell Ability 1).
Multiple families can live in the same temple.
</t>
        </r>
      </text>
    </comment>
    <comment ref="A46" authorId="1">
      <text>
        <r>
          <rPr>
            <sz val="8"/>
            <rFont val="Tahoma"/>
            <family val="2"/>
          </rPr>
          <t xml:space="preserve">Includes able-bodied apprentices and novice mages (i.e. Spell Ability 1). Approximately 40% of mages are apprentices or novice mages.
Multiple mages can live in the same college although typically each has their own residence/tower.
</t>
        </r>
      </text>
    </comment>
    <comment ref="A57" authorId="1">
      <text>
        <r>
          <rPr>
            <sz val="8"/>
            <rFont val="Tahoma"/>
            <family val="2"/>
          </rPr>
          <t>Most settlements on the water have a dock. These option is for settlements having shipbuilding capability or large storage sheds to accommodate naval trade.
Each dock district is 4000 square meters in size.</t>
        </r>
      </text>
    </comment>
    <comment ref="A66" authorId="1">
      <text>
        <r>
          <rPr>
            <sz val="8"/>
            <rFont val="Tahoma"/>
            <family val="2"/>
          </rPr>
          <t xml:space="preserve">This is for walled cemetaries, or cemetaries with large mausoleums/tombs.
</t>
        </r>
      </text>
    </comment>
    <comment ref="A94" authorId="1">
      <text>
        <r>
          <rPr>
            <sz val="8"/>
            <rFont val="Tahoma"/>
            <family val="2"/>
          </rPr>
          <t>Beekeepers are called Apiarists.
Sell wax, honey, royal jelly, pollen. 
Honey is used to make alcoholic drinks and for medicinal properties.</t>
        </r>
      </text>
    </comment>
    <comment ref="AI12" authorId="2">
      <text>
        <r>
          <rPr>
            <b/>
            <sz val="9"/>
            <rFont val="Tahoma"/>
            <family val="2"/>
          </rPr>
          <t>Can be higher than 100% as some races have trained military that also perform crafts.</t>
        </r>
      </text>
    </comment>
    <comment ref="AG12" authorId="2">
      <text>
        <r>
          <rPr>
            <sz val="9"/>
            <rFont val="Tahoma"/>
            <family val="2"/>
          </rPr>
          <t>Adventurers, wanderers, merchants.</t>
        </r>
        <r>
          <rPr>
            <b/>
            <sz val="9"/>
            <rFont val="Tahoma"/>
            <family val="2"/>
          </rPr>
          <t xml:space="preserve">
</t>
        </r>
      </text>
    </comment>
    <comment ref="AG2" authorId="2">
      <text>
        <r>
          <rPr>
            <sz val="9"/>
            <rFont val="Tahoma"/>
            <family val="2"/>
          </rPr>
          <t>Adventurers, wanderers, merchants</t>
        </r>
        <r>
          <rPr>
            <b/>
            <sz val="9"/>
            <rFont val="Tahoma"/>
            <family val="2"/>
          </rPr>
          <t xml:space="preserve">
</t>
        </r>
      </text>
    </comment>
    <comment ref="B38" authorId="2">
      <text>
        <r>
          <rPr>
            <sz val="9"/>
            <rFont val="Tahoma"/>
            <family val="2"/>
          </rPr>
          <t>An able-bodied individual could have more than one role in the settlement.
This is particularly of note with demi-humans that have long lives.</t>
        </r>
      </text>
    </comment>
    <comment ref="D38" authorId="2">
      <text>
        <r>
          <rPr>
            <sz val="9"/>
            <rFont val="Tahoma"/>
            <family val="2"/>
          </rPr>
          <t>Effective number of individuals doing the role full time.
A negative number means an elderly or young is filling a role.</t>
        </r>
      </text>
    </comment>
    <comment ref="F38" authorId="2">
      <text>
        <r>
          <rPr>
            <sz val="9"/>
            <rFont val="Tahoma"/>
            <family val="2"/>
          </rPr>
          <t>Number of effective able-bodied individuals using the given building at the same time.</t>
        </r>
      </text>
    </comment>
    <comment ref="E39" authorId="2">
      <text>
        <r>
          <rPr>
            <sz val="9"/>
            <rFont val="Tahoma"/>
            <family val="2"/>
          </rPr>
          <t xml:space="preserve">Each farm has about 40 acres of land. 20 harvested, 14 fallow, 6 common land.
</t>
        </r>
      </text>
    </comment>
    <comment ref="E44" authorId="2">
      <text>
        <r>
          <rPr>
            <sz val="9"/>
            <rFont val="Tahoma"/>
            <family val="2"/>
          </rPr>
          <t>includes communal space for eating, etc.
About 0.2 acres per 20 soldiers.</t>
        </r>
      </text>
    </comment>
    <comment ref="E45" authorId="2">
      <text>
        <r>
          <rPr>
            <sz val="9"/>
            <rFont val="Tahoma"/>
            <family val="2"/>
          </rPr>
          <t>includes communal space for eating, etc. About 0.1 acres per priest for living area.
Worship area is about 0.002 acre per worshipper.</t>
        </r>
      </text>
    </comment>
    <comment ref="E46" authorId="2">
      <text>
        <r>
          <rPr>
            <sz val="9"/>
            <rFont val="Tahoma"/>
            <family val="2"/>
          </rPr>
          <t>includes communal space for eating, etc.
About 0.1 acre per mage per building</t>
        </r>
      </text>
    </comment>
    <comment ref="A111" authorId="2">
      <text>
        <r>
          <rPr>
            <sz val="9"/>
            <rFont val="Tahoma"/>
            <family val="2"/>
          </rPr>
          <t>They offer dyes for clothing, paint, etc.</t>
        </r>
      </text>
    </comment>
    <comment ref="A98" authorId="2">
      <text>
        <r>
          <rPr>
            <sz val="9"/>
            <rFont val="Tahoma"/>
            <family val="2"/>
          </rPr>
          <t xml:space="preserve">Includes hiring a caller to post and call out messages in town squares.
</t>
        </r>
      </text>
    </comment>
    <comment ref="A101" authorId="2">
      <text>
        <r>
          <rPr>
            <sz val="9"/>
            <rFont val="Tahoma"/>
            <family val="2"/>
          </rPr>
          <t xml:space="preserve">They will perform in taverns, inns, in market squares, etc.
</t>
        </r>
      </text>
    </comment>
    <comment ref="A130" authorId="0">
      <text>
        <r>
          <rPr>
            <sz val="8"/>
            <rFont val="Tahoma"/>
            <family val="2"/>
          </rPr>
          <t>This includes luxury or exotic animals; rare pets, wild animals, magical beasts, etc.</t>
        </r>
      </text>
    </comment>
    <comment ref="A81" authorId="2">
      <text>
        <r>
          <rPr>
            <sz val="9"/>
            <rFont val="Tahoma"/>
            <family val="2"/>
          </rPr>
          <t>This includes jobs such as shepherd, cattle rancher, etc. 
It is working with common farming animals; cows, pigs, sheep, mules, draft horses, chickens, sheepdogs.</t>
        </r>
      </text>
    </comment>
    <comment ref="A106" authorId="3">
      <text>
        <r>
          <rPr>
            <sz val="9"/>
            <rFont val="Tahoma"/>
            <family val="2"/>
          </rPr>
          <t>This includes animals trained for specific tasks; war horses, war dogs, hunting hawks, homing pigeons, etc.</t>
        </r>
      </text>
    </comment>
    <comment ref="A131" authorId="0">
      <text>
        <r>
          <rPr>
            <sz val="8"/>
            <rFont val="Tahoma"/>
            <family val="2"/>
          </rPr>
          <t>Sells alchemical components</t>
        </r>
      </text>
    </comment>
    <comment ref="A136" authorId="2">
      <text>
        <r>
          <rPr>
            <sz val="9"/>
            <rFont val="Tahoma"/>
            <family val="2"/>
          </rPr>
          <t>The Diety values are based on Furyondy. To change the values, go to the worksheet called "Data_Temples".</t>
        </r>
      </text>
    </comment>
    <comment ref="F39" authorId="2">
      <text>
        <r>
          <rPr>
            <b/>
            <sz val="9"/>
            <rFont val="Tahoma"/>
            <family val="2"/>
          </rPr>
          <t>Suggested 1.75</t>
        </r>
      </text>
    </comment>
    <comment ref="F40" authorId="2">
      <text>
        <r>
          <rPr>
            <b/>
            <sz val="9"/>
            <rFont val="Tahoma"/>
            <family val="2"/>
          </rPr>
          <t>Suggested 1.5</t>
        </r>
      </text>
    </comment>
    <comment ref="F41" authorId="2">
      <text>
        <r>
          <rPr>
            <b/>
            <sz val="9"/>
            <rFont val="Tahoma"/>
            <family val="2"/>
          </rPr>
          <t>Suggested 1.25</t>
        </r>
      </text>
    </comment>
    <comment ref="F42" authorId="2">
      <text>
        <r>
          <rPr>
            <b/>
            <sz val="9"/>
            <rFont val="Tahoma"/>
            <family val="2"/>
          </rPr>
          <t>Suggested 2</t>
        </r>
      </text>
    </comment>
    <comment ref="F43" authorId="2">
      <text>
        <r>
          <rPr>
            <b/>
            <sz val="9"/>
            <rFont val="Tahoma"/>
            <family val="2"/>
          </rPr>
          <t>Suggested 2</t>
        </r>
      </text>
    </comment>
    <comment ref="F44" authorId="2">
      <text>
        <r>
          <rPr>
            <b/>
            <sz val="9"/>
            <rFont val="Tahoma"/>
            <family val="2"/>
          </rPr>
          <t>Suggested 20</t>
        </r>
      </text>
    </comment>
    <comment ref="F45" authorId="2">
      <text>
        <r>
          <rPr>
            <b/>
            <sz val="9"/>
            <rFont val="Tahoma"/>
            <family val="2"/>
          </rPr>
          <t>Suggested 3</t>
        </r>
      </text>
    </comment>
    <comment ref="F46" authorId="2">
      <text>
        <r>
          <rPr>
            <b/>
            <sz val="9"/>
            <rFont val="Tahoma"/>
            <family val="2"/>
          </rPr>
          <t>Suggested 1.25</t>
        </r>
      </text>
    </comment>
    <comment ref="G12" authorId="2">
      <text>
        <r>
          <rPr>
            <sz val="9"/>
            <rFont val="Tahoma"/>
            <family val="2"/>
          </rPr>
          <t>Density of medieval cities was about 1 person per 70 square meters, or 57 people per acre.</t>
        </r>
      </text>
    </comment>
    <comment ref="A60" authorId="2">
      <text>
        <r>
          <rPr>
            <sz val="9"/>
            <rFont val="Tahoma"/>
            <family val="2"/>
          </rPr>
          <t>Each lumbermill district is 4000 square meters in size.</t>
        </r>
      </text>
    </comment>
    <comment ref="A61" authorId="2">
      <text>
        <r>
          <rPr>
            <sz val="9"/>
            <rFont val="Tahoma"/>
            <family val="2"/>
          </rPr>
          <t>This would include crops such as cotton.</t>
        </r>
      </text>
    </comment>
    <comment ref="A50" authorId="2">
      <text>
        <r>
          <rPr>
            <sz val="9"/>
            <rFont val="Tahoma"/>
            <family val="2"/>
          </rPr>
          <t>A small shop, roughly 100 square meters in size.</t>
        </r>
      </text>
    </comment>
    <comment ref="A53" authorId="2">
      <text>
        <r>
          <rPr>
            <sz val="9"/>
            <rFont val="Tahoma"/>
            <family val="2"/>
          </rPr>
          <t>A small and worship area, roughly 20 square meters in size.</t>
        </r>
      </text>
    </comment>
    <comment ref="A58" authorId="2">
      <text>
        <r>
          <rPr>
            <sz val="9"/>
            <rFont val="Tahoma"/>
            <family val="2"/>
          </rPr>
          <t>A warehouse disctrict is about 2000 square meters in size.</t>
        </r>
      </text>
    </comment>
    <comment ref="A138" authorId="2">
      <text>
        <r>
          <rPr>
            <sz val="9"/>
            <rFont val="Tahoma"/>
            <family val="2"/>
          </rPr>
          <t>Medieval Europe had between 1% and 5% of their adult population in the clergy.
Percentage varies based on type of settlement and race -- i.e. larger settlements have a higher % of clergy and some races have more clergy than others.</t>
        </r>
      </text>
    </comment>
    <comment ref="A148" authorId="2">
      <text>
        <r>
          <rPr>
            <sz val="9"/>
            <rFont val="Tahoma"/>
            <family val="2"/>
          </rPr>
          <t>The Diety values are based on Furyondy. To change the values, go to the worksheet called "Data_Temples".</t>
        </r>
      </text>
    </comment>
    <comment ref="A150" authorId="2">
      <text>
        <r>
          <rPr>
            <sz val="9"/>
            <rFont val="Tahoma"/>
            <family val="2"/>
          </rPr>
          <t>Usually between 1% and 2%.</t>
        </r>
      </text>
    </comment>
    <comment ref="D121" authorId="4">
      <text>
        <r>
          <rPr>
            <sz val="9"/>
            <rFont val="Tahoma"/>
            <family val="2"/>
          </rPr>
          <t>total # of able-bodied performing this activity.</t>
        </r>
      </text>
    </comment>
    <comment ref="D97" authorId="4">
      <text>
        <r>
          <rPr>
            <sz val="9"/>
            <rFont val="Tahoma"/>
            <family val="2"/>
          </rPr>
          <t>total # of able-bodied performing this activity.</t>
        </r>
      </text>
    </comment>
    <comment ref="D72" authorId="4">
      <text>
        <r>
          <rPr>
            <sz val="9"/>
            <rFont val="Tahoma"/>
            <family val="2"/>
          </rPr>
          <t>total # of able-bodied performing this activity.</t>
        </r>
      </text>
    </comment>
    <comment ref="E160" authorId="4">
      <text>
        <r>
          <rPr>
            <b/>
            <sz val="9"/>
            <rFont val="Tahoma"/>
            <family val="2"/>
          </rPr>
          <t>total # of able-bodied performing this activity.</t>
        </r>
      </text>
    </comment>
    <comment ref="A162" authorId="2">
      <text>
        <r>
          <rPr>
            <sz val="9"/>
            <rFont val="Tahoma"/>
            <family val="2"/>
          </rPr>
          <t>Percentage varies based on type of settlement and race -- i.e. larger settlements have a higher % of mages and some races have more mages than others.</t>
        </r>
      </text>
    </comment>
    <comment ref="A44" authorId="2">
      <text>
        <r>
          <rPr>
            <sz val="9"/>
            <rFont val="Tahoma"/>
            <family val="2"/>
          </rPr>
          <t xml:space="preserve">These are individuals that are fully trained in combat to a soldier level. It does not include peasant levies, bouncers, etc.
</t>
        </r>
      </text>
    </comment>
    <comment ref="B35" authorId="2">
      <text>
        <r>
          <rPr>
            <sz val="9"/>
            <rFont val="Tahoma"/>
            <family val="2"/>
          </rPr>
          <t xml:space="preserve">Corruption measures how open a settlement’s officials are to bribes, how honest its citizens are, and how likely anyone in town is to report a crime. Low corruption indicates a high level of civic honesty. A settlement’s corruption modifies all Bluff checks made against city officials or guards and all Stealth checks made outside (but not inside buildings or underground).
</t>
        </r>
      </text>
    </comment>
    <comment ref="C35" authorId="2">
      <text>
        <r>
          <rPr>
            <sz val="9"/>
            <rFont val="Tahoma"/>
            <family val="2"/>
          </rPr>
          <t xml:space="preserve">Crime is a measure of a settlement’s lawlessness. A settlement with a low crime modifier is relatively safe, with violent crimes being rare or even unknown, while a settlement with a high crime modifier is likely to have A powerful thieves’ guild and a significant problem with violence. The atmosphere generated by a settlement’s crime level applies as a modifier on Sense Motive checks to avoid being bluffed and to Sleight of Hand checks made to pick pockets.
</t>
        </r>
      </text>
    </comment>
    <comment ref="D35" authorId="2">
      <text>
        <r>
          <rPr>
            <sz val="9"/>
            <rFont val="Tahoma"/>
            <family val="2"/>
          </rPr>
          <t xml:space="preserve">A settlement’s economy modifier indicates the health of its trade and the wealth of its successful citizens. A low economy modifier doesn’t automatically mean the town is beset with poverty—it could merely indicate A town with little trade or one that is relatively self-sufficient. Towns with high economy modifiers always have large markets and many shops. A settlement’s economy helps its citizens make money, and thus it applies as a modifier on all Craft, Perform, and Profession checks made to generate income.
</t>
        </r>
      </text>
    </comment>
    <comment ref="E35" authorId="2">
      <text>
        <r>
          <rPr>
            <sz val="9"/>
            <rFont val="Tahoma"/>
            <family val="2"/>
          </rPr>
          <t xml:space="preserve">Law measures how strict a settlement’s laws and edicts are. A settlement with a low law modifier isn’t necessarily crime-ridden—in fact, A low law modifier usually indicates that the town simply has little need for protection since crime is so rare. A high law modifier means the settlement’s guards are particularly alert, vigilant, and well-organized. The more lawful A town is, the more timidly its citizens tend to respond to shows of force. A settlement’s law modifier applies on Intimidate checks made to force an opponent to act friendly, Diplomacy checks against government officials, or Diplomacy checks made to call on the city guard.
</t>
        </r>
      </text>
    </comment>
    <comment ref="F35" authorId="2">
      <text>
        <r>
          <rPr>
            <sz val="9"/>
            <rFont val="Tahoma"/>
            <family val="2"/>
          </rPr>
          <t xml:space="preserve">A settlement’s lore modifier measures not only how willing the citizens are to chat and talk with visitors, but also how available and accessible its libraries and sages are. A low lore modifier doesn’t mean the settlement’s citizens are idiots, just that they’re close-mouthed or simply lack knowledge resources. A settlement’s lore modifier applies on Diplomacy checks made to gather information and Knowledge checks made using the city’s resources to do research when using a library.
</t>
        </r>
      </text>
    </comment>
    <comment ref="G35" authorId="2">
      <text>
        <r>
          <rPr>
            <sz val="9"/>
            <rFont val="Tahoma"/>
            <family val="2"/>
          </rPr>
          <t xml:space="preserve">Society measures how open-minded and civilized A settlement’s citizens are. A low society modifier might mean many of the citizens harbor prejudices or are overly suspicious of out-of-towners. A high society modifier means that citizens are used to diversity and unusual visitors and that they respond better to well-spoken attempts at conversation. A settlement’s society modifier applies on all Disguise checks, as well as on Diplomacy checks made to alter the attitude of any non-government official.
</t>
        </r>
      </text>
    </comment>
    <comment ref="A26" authorId="2">
      <text>
        <r>
          <rPr>
            <sz val="9"/>
            <rFont val="Tahoma"/>
            <family val="2"/>
          </rPr>
          <t xml:space="preserve">Just like nations, towns and cities are ruled by governments. A settlement’s government not only helps to establish the flavor and feel of the community but also adjusts its modifiers.
</t>
        </r>
      </text>
    </comment>
    <comment ref="A27" authorId="2">
      <text>
        <r>
          <rPr>
            <sz val="9"/>
            <rFont val="Tahoma"/>
            <family val="2"/>
          </rPr>
          <t xml:space="preserve">Hamlet = 1 Quality
Village = 2 Qualities
Small town = 2 Qualities
Large Town = 3 Qualities
Small city = 4 Qualities
Large city = 5 Qualities
Metropolis = 6 Qualities
</t>
        </r>
      </text>
    </comment>
    <comment ref="M3" authorId="2">
      <text>
        <r>
          <rPr>
            <b/>
            <sz val="9"/>
            <rFont val="Tahoma"/>
            <family val="2"/>
          </rPr>
          <t>Number of settlement Qualities</t>
        </r>
      </text>
    </comment>
    <comment ref="B65" authorId="2">
      <text>
        <r>
          <rPr>
            <sz val="9"/>
            <rFont val="Tahoma"/>
            <family val="2"/>
          </rPr>
          <t>Typical medieval cities have around 10% of their surface area worth or roads. Not all were paved.</t>
        </r>
      </text>
    </comment>
    <comment ref="A64" authorId="2">
      <text>
        <r>
          <rPr>
            <sz val="9"/>
            <rFont val="Tahoma"/>
            <family val="2"/>
          </rPr>
          <t>Median community park is 5 acres. 
Central park is 850 acres.</t>
        </r>
      </text>
    </comment>
    <comment ref="A41" authorId="2">
      <text>
        <r>
          <rPr>
            <sz val="9"/>
            <rFont val="Tahoma"/>
            <family val="2"/>
          </rPr>
          <t>Laborers include maids, waitresses, cart pushers, street cleaners, etc.</t>
        </r>
      </text>
    </comment>
    <comment ref="A39" authorId="2">
      <text>
        <r>
          <rPr>
            <sz val="9"/>
            <rFont val="Tahoma"/>
            <family val="2"/>
          </rPr>
          <t>Includes fishermen, cultivators, herdsmen, etc.</t>
        </r>
      </text>
    </comment>
  </commentList>
</comments>
</file>

<file path=xl/comments7.xml><?xml version="1.0" encoding="utf-8"?>
<comments xmlns="http://schemas.openxmlformats.org/spreadsheetml/2006/main">
  <authors>
    <author>Richard</author>
    <author>CAE inc.</author>
  </authors>
  <commentList>
    <comment ref="B7" authorId="0">
      <text>
        <r>
          <rPr>
            <sz val="8"/>
            <rFont val="Tahoma"/>
            <family val="2"/>
          </rPr>
          <t>This salary assumes the employee covers all their own weekly food, lodging and tools of the trade.</t>
        </r>
      </text>
    </comment>
    <comment ref="C7" authorId="1">
      <text>
        <r>
          <rPr>
            <sz val="8"/>
            <rFont val="Tahoma"/>
            <family val="2"/>
          </rPr>
          <t xml:space="preserve">This is the weekly cost reduction if the employer feeds and lodge the employee's complete family (roughly 5 people).
</t>
        </r>
      </text>
    </comment>
    <comment ref="D7" authorId="1">
      <text>
        <r>
          <rPr>
            <sz val="8"/>
            <rFont val="Tahoma"/>
            <family val="2"/>
          </rPr>
          <t>This is the weekly cost reduction if the employer covers just the employee's food and lodging.</t>
        </r>
        <r>
          <rPr>
            <sz val="8"/>
            <rFont val="Tahoma"/>
            <family val="2"/>
          </rPr>
          <t xml:space="preserve">
</t>
        </r>
      </text>
    </comment>
    <comment ref="B22" authorId="0">
      <text>
        <r>
          <rPr>
            <sz val="8"/>
            <rFont val="Tahoma"/>
            <family val="2"/>
          </rPr>
          <t>This salary assumes that the employee covers all their own food, lodging and the tools of the trade.</t>
        </r>
      </text>
    </comment>
    <comment ref="D22" authorId="1">
      <text>
        <r>
          <rPr>
            <sz val="8"/>
            <rFont val="Tahoma"/>
            <family val="2"/>
          </rPr>
          <t>This is the weekly cost reduction if the employer covers just the employee's food and lodging.</t>
        </r>
        <r>
          <rPr>
            <sz val="8"/>
            <rFont val="Tahoma"/>
            <family val="2"/>
          </rPr>
          <t xml:space="preserve">
</t>
        </r>
      </text>
    </comment>
  </commentList>
</comments>
</file>

<file path=xl/sharedStrings.xml><?xml version="1.0" encoding="utf-8"?>
<sst xmlns="http://schemas.openxmlformats.org/spreadsheetml/2006/main" count="1518" uniqueCount="1050">
  <si>
    <t>Settlement type</t>
  </si>
  <si>
    <t>Settlements</t>
  </si>
  <si>
    <t>Min</t>
  </si>
  <si>
    <t>Spread</t>
  </si>
  <si>
    <t>Max</t>
  </si>
  <si>
    <t>Hamlet</t>
  </si>
  <si>
    <t>Village</t>
  </si>
  <si>
    <t>Town</t>
  </si>
  <si>
    <t>City</t>
  </si>
  <si>
    <t>Inn</t>
  </si>
  <si>
    <t>Random inn name</t>
  </si>
  <si>
    <t>Random tavern name</t>
  </si>
  <si>
    <t>Druid</t>
  </si>
  <si>
    <t>Air</t>
  </si>
  <si>
    <t>Earth</t>
  </si>
  <si>
    <t>Fire</t>
  </si>
  <si>
    <t>Water</t>
  </si>
  <si>
    <t>Illusions</t>
  </si>
  <si>
    <t>Mentat</t>
  </si>
  <si>
    <t>Rune</t>
  </si>
  <si>
    <t>Shadow</t>
  </si>
  <si>
    <t>Summoning</t>
  </si>
  <si>
    <t>Wizardry</t>
  </si>
  <si>
    <t>Rand1</t>
  </si>
  <si>
    <t>Rand2</t>
  </si>
  <si>
    <t>Rand3</t>
  </si>
  <si>
    <t>Rand4</t>
  </si>
  <si>
    <t>Rand5</t>
  </si>
  <si>
    <t>Rand6</t>
  </si>
  <si>
    <t>Rand7</t>
  </si>
  <si>
    <t>Rand8</t>
  </si>
  <si>
    <t>Rand9</t>
  </si>
  <si>
    <t>Rand10</t>
  </si>
  <si>
    <t>Power</t>
  </si>
  <si>
    <t>Priests</t>
  </si>
  <si>
    <t>G</t>
  </si>
  <si>
    <t>Beory</t>
  </si>
  <si>
    <t>Pelor</t>
  </si>
  <si>
    <t>Rao</t>
  </si>
  <si>
    <t>I</t>
  </si>
  <si>
    <t>Celestian</t>
  </si>
  <si>
    <t>Ehlonna</t>
  </si>
  <si>
    <t>Farlangh</t>
  </si>
  <si>
    <t>Heironeous</t>
  </si>
  <si>
    <t>Olidammara</t>
  </si>
  <si>
    <t>Pholtus</t>
  </si>
  <si>
    <t>Procan</t>
  </si>
  <si>
    <t>St-Cuthbert</t>
  </si>
  <si>
    <t>Trithereon</t>
  </si>
  <si>
    <t>Ulaa</t>
  </si>
  <si>
    <t>Zilchus</t>
  </si>
  <si>
    <t xml:space="preserve">L </t>
  </si>
  <si>
    <t>Atroa</t>
  </si>
  <si>
    <t>Berei</t>
  </si>
  <si>
    <t>L</t>
  </si>
  <si>
    <t>Bleredd</t>
  </si>
  <si>
    <t>Cyndor</t>
  </si>
  <si>
    <t>Delleb</t>
  </si>
  <si>
    <t>Lirr</t>
  </si>
  <si>
    <t>Myhriss</t>
  </si>
  <si>
    <t>Sotillon</t>
  </si>
  <si>
    <t>Telchur</t>
  </si>
  <si>
    <t>Velnius</t>
  </si>
  <si>
    <t>Zodal</t>
  </si>
  <si>
    <t>D</t>
  </si>
  <si>
    <t>Mayaheine</t>
  </si>
  <si>
    <t>Rudd</t>
  </si>
  <si>
    <t>M</t>
  </si>
  <si>
    <t>Miscellaneous</t>
  </si>
  <si>
    <t>Total</t>
  </si>
  <si>
    <t>#</t>
  </si>
  <si>
    <t>Tavern</t>
  </si>
  <si>
    <t>One Way Inn</t>
  </si>
  <si>
    <t>Flying Dwarf Tavern</t>
  </si>
  <si>
    <t>The Cadfish</t>
  </si>
  <si>
    <t>The Smirking Mermaid Tavern</t>
  </si>
  <si>
    <t>Old Rook</t>
  </si>
  <si>
    <t>The Green Ghost</t>
  </si>
  <si>
    <t>Raging Moose Inn</t>
  </si>
  <si>
    <t>The Anvil's Ring</t>
  </si>
  <si>
    <t>The Funky Duck Inn</t>
  </si>
  <si>
    <t>The Farmer's Ear</t>
  </si>
  <si>
    <t>Ugly Mug</t>
  </si>
  <si>
    <t>Blue Boar and the Minotaur</t>
  </si>
  <si>
    <t>Lamplighter Inn</t>
  </si>
  <si>
    <t>Sword's Bright Tavern</t>
  </si>
  <si>
    <t>The Jackanape</t>
  </si>
  <si>
    <t>The Skagswallow Haunt</t>
  </si>
  <si>
    <t>The Three Sisters Inn</t>
  </si>
  <si>
    <t>Teldar's Delights</t>
  </si>
  <si>
    <t>Inn of the Flatulent Griffin</t>
  </si>
  <si>
    <t>Renors House of Sin</t>
  </si>
  <si>
    <t>Inn of the Brass Monkey</t>
  </si>
  <si>
    <t>The Leaf and Way</t>
  </si>
  <si>
    <t>Coachhouse Manor</t>
  </si>
  <si>
    <t>The Frolicking Boar</t>
  </si>
  <si>
    <t>The Teardrop</t>
  </si>
  <si>
    <t>Temple of the Red Lantern</t>
  </si>
  <si>
    <t>Maidens' Fair Weep</t>
  </si>
  <si>
    <t>The Everburning Torch</t>
  </si>
  <si>
    <t>The Crimson Bucket</t>
  </si>
  <si>
    <t>Cog and Coaster</t>
  </si>
  <si>
    <t>The Gilded Wyvern</t>
  </si>
  <si>
    <t>The Maidenhead</t>
  </si>
  <si>
    <t>The Dragon's Rump</t>
  </si>
  <si>
    <t>The Mizzenmast Tavern</t>
  </si>
  <si>
    <t>The Roc's Perch</t>
  </si>
  <si>
    <t>Rolling Boulder Tavern</t>
  </si>
  <si>
    <t>Ten Leagues Under</t>
  </si>
  <si>
    <t>The Dancing Swan</t>
  </si>
  <si>
    <t>The Swollen Cow</t>
  </si>
  <si>
    <t>The Coddling Hole</t>
  </si>
  <si>
    <t>The Queen's Blessing</t>
  </si>
  <si>
    <t>The Cockatrice and Basilisk</t>
  </si>
  <si>
    <t>The Paladin's Pride</t>
  </si>
  <si>
    <t>Hell's Half Acre</t>
  </si>
  <si>
    <t>The Dead Troll</t>
  </si>
  <si>
    <t>Igby's Dance of Delight</t>
  </si>
  <si>
    <t>The Fallen General</t>
  </si>
  <si>
    <t>The Jaunt</t>
  </si>
  <si>
    <t>Farewayer's Inn</t>
  </si>
  <si>
    <t>The Lamia and Lion</t>
  </si>
  <si>
    <t>The Sleeping Dragon Inn</t>
  </si>
  <si>
    <t>The Mug O'Plenty</t>
  </si>
  <si>
    <t>The Burnt Tree Inn</t>
  </si>
  <si>
    <t>Sleephaven</t>
  </si>
  <si>
    <t>The Adventureres Roost</t>
  </si>
  <si>
    <t>Slumber's Bane</t>
  </si>
  <si>
    <t>The Plough and the Stars</t>
  </si>
  <si>
    <t>The Toll and Toil</t>
  </si>
  <si>
    <t>Oznad's Supplies</t>
  </si>
  <si>
    <t>The Hungry Wolf Tavern</t>
  </si>
  <si>
    <t>Wellwater's Well Worn Sanctum</t>
  </si>
  <si>
    <t>The Roaring Boar Tavern</t>
  </si>
  <si>
    <t>Wild Coast Warren</t>
  </si>
  <si>
    <t>Griffons Wing Tavern</t>
  </si>
  <si>
    <t>Eye of the Beholder</t>
  </si>
  <si>
    <t>The Pub of Vecna</t>
  </si>
  <si>
    <t>The Unfolding Scroll</t>
  </si>
  <si>
    <t>Ironwood Cooper</t>
  </si>
  <si>
    <t>Dyfed's Mill and Grainery</t>
  </si>
  <si>
    <t>The Adept's Folly</t>
  </si>
  <si>
    <t>Darcies Wash House</t>
  </si>
  <si>
    <t>The Alchemist</t>
  </si>
  <si>
    <t>Matties Bath House</t>
  </si>
  <si>
    <t>The Baleful Glare</t>
  </si>
  <si>
    <t>The Roundleaf Inn</t>
  </si>
  <si>
    <t>Tharor's Balance</t>
  </si>
  <si>
    <t>Oerthia Nae Inn</t>
  </si>
  <si>
    <t>Kord's Horn</t>
  </si>
  <si>
    <t>Kaffibar Inn</t>
  </si>
  <si>
    <t>Ísafold Tavern</t>
  </si>
  <si>
    <t>The Greyhouse Inn</t>
  </si>
  <si>
    <t>The Green Buck Tavern</t>
  </si>
  <si>
    <t>Hrafns Inn</t>
  </si>
  <si>
    <t>The Club foot</t>
  </si>
  <si>
    <t>Baylock's Rest inn</t>
  </si>
  <si>
    <t>The Coaster</t>
  </si>
  <si>
    <t>The Big Bucket</t>
  </si>
  <si>
    <t>The Constellation</t>
  </si>
  <si>
    <t>The Broken arrow</t>
  </si>
  <si>
    <t>The Crafty orc</t>
  </si>
  <si>
    <t>The Bullshead inn</t>
  </si>
  <si>
    <t>Crown and Scepter</t>
  </si>
  <si>
    <t>Cartographer inn</t>
  </si>
  <si>
    <t>The Custom house</t>
  </si>
  <si>
    <t>Citadel inn</t>
  </si>
  <si>
    <t>The Deep</t>
  </si>
  <si>
    <t>Deep Delve inn</t>
  </si>
  <si>
    <t>Destiny Arms</t>
  </si>
  <si>
    <t>The Distant lights</t>
  </si>
  <si>
    <t>The Drunken Dragon</t>
  </si>
  <si>
    <t>The Dwarven eyrie</t>
  </si>
  <si>
    <t>The Dwarven hammer</t>
  </si>
  <si>
    <t>Dying gasp inn</t>
  </si>
  <si>
    <t>Ent's retreat</t>
  </si>
  <si>
    <t>The Fisherman</t>
  </si>
  <si>
    <t>The Fireball tavern</t>
  </si>
  <si>
    <t>Footsore wanderer inn</t>
  </si>
  <si>
    <t>Furious fish tavern</t>
  </si>
  <si>
    <t>Frolicking salmon inn</t>
  </si>
  <si>
    <t>The Hale Horseman</t>
  </si>
  <si>
    <t>Gate to the jewel inn</t>
  </si>
  <si>
    <t>The Hard times</t>
  </si>
  <si>
    <t>The Golden crown</t>
  </si>
  <si>
    <t>The hobgoblin's demise</t>
  </si>
  <si>
    <t>The Giant's rest</t>
  </si>
  <si>
    <t>Ironfist guild tavern</t>
  </si>
  <si>
    <t>The Golden perch</t>
  </si>
  <si>
    <t>Lady Luck tavern</t>
  </si>
  <si>
    <t>Gorak's revenge inn</t>
  </si>
  <si>
    <t>The leviathan</t>
  </si>
  <si>
    <t>Halberd inn</t>
  </si>
  <si>
    <t>The little secret</t>
  </si>
  <si>
    <t>Haughty madam inn</t>
  </si>
  <si>
    <t>The live oak</t>
  </si>
  <si>
    <t>The Hog and Catfish</t>
  </si>
  <si>
    <t>The long gallery</t>
  </si>
  <si>
    <t>Inn of the welcome wench</t>
  </si>
  <si>
    <t>Long sorrow tavern</t>
  </si>
  <si>
    <t>Knight errant inn</t>
  </si>
  <si>
    <t>The magician</t>
  </si>
  <si>
    <t>Laventhal's inn</t>
  </si>
  <si>
    <t>The mariner</t>
  </si>
  <si>
    <t>The lazy dog</t>
  </si>
  <si>
    <t>The Nautilus</t>
  </si>
  <si>
    <t>The lazy lion</t>
  </si>
  <si>
    <t>Northhaven tavern</t>
  </si>
  <si>
    <t>Lightbringer inn</t>
  </si>
  <si>
    <t>Nyrond arms</t>
  </si>
  <si>
    <t>Longsword inn</t>
  </si>
  <si>
    <t>The pentacle</t>
  </si>
  <si>
    <t>Lord Cassipia inn</t>
  </si>
  <si>
    <t>The quiver</t>
  </si>
  <si>
    <t>Navigator inn</t>
  </si>
  <si>
    <t>The raging bull</t>
  </si>
  <si>
    <t>Outpost inn</t>
  </si>
  <si>
    <t>The rampant centaur</t>
  </si>
  <si>
    <t>Palace guard inn</t>
  </si>
  <si>
    <t>Ranger's arms</t>
  </si>
  <si>
    <t>Pirate inn</t>
  </si>
  <si>
    <t>The red rooster</t>
  </si>
  <si>
    <t>Poor man's rest</t>
  </si>
  <si>
    <t>The rose and crown</t>
  </si>
  <si>
    <t>Ravenshead inn</t>
  </si>
  <si>
    <t>The rune of destiny</t>
  </si>
  <si>
    <t>Rayed sun inn</t>
  </si>
  <si>
    <t>The rusty plough</t>
  </si>
  <si>
    <t>Red inn</t>
  </si>
  <si>
    <t>The sorcerer's apprentice</t>
  </si>
  <si>
    <t>Sea dreams inn</t>
  </si>
  <si>
    <t>The sigil of fate</t>
  </si>
  <si>
    <t>Shipbuilder's inn</t>
  </si>
  <si>
    <t>The silver crown</t>
  </si>
  <si>
    <t>The standard bearer</t>
  </si>
  <si>
    <t>The smuggler's haunt</t>
  </si>
  <si>
    <t>The strategist</t>
  </si>
  <si>
    <t>The sorrow</t>
  </si>
  <si>
    <t>The sylvan glade</t>
  </si>
  <si>
    <t>The squadron</t>
  </si>
  <si>
    <t>The tactician</t>
  </si>
  <si>
    <t>The stirrup cup</t>
  </si>
  <si>
    <t>The traveller's rest</t>
  </si>
  <si>
    <t>The tempest</t>
  </si>
  <si>
    <t>The twilight's end</t>
  </si>
  <si>
    <t>The tempting crypt</t>
  </si>
  <si>
    <t>The unicorn</t>
  </si>
  <si>
    <t>Wayfarer tavern</t>
  </si>
  <si>
    <t>The wayfarer's rest</t>
  </si>
  <si>
    <t>The vital component</t>
  </si>
  <si>
    <t>Wheatsheaf inn</t>
  </si>
  <si>
    <t>The wanton sheep</t>
  </si>
  <si>
    <t>White elf inn</t>
  </si>
  <si>
    <t>The whistling black bear</t>
  </si>
  <si>
    <t>The woodland copse</t>
  </si>
  <si>
    <t>Wolf's tavern</t>
  </si>
  <si>
    <t>Total =</t>
  </si>
  <si>
    <t>Mages</t>
  </si>
  <si>
    <t>Shrines</t>
  </si>
  <si>
    <t>Temples and Monasteries</t>
  </si>
  <si>
    <t>% Religion</t>
  </si>
  <si>
    <t>Religion</t>
  </si>
  <si>
    <t>Boccob</t>
  </si>
  <si>
    <t>Osprem</t>
  </si>
  <si>
    <t>Population density =</t>
  </si>
  <si>
    <t>Region geographical area =</t>
  </si>
  <si>
    <r>
      <t>km</t>
    </r>
    <r>
      <rPr>
        <vertAlign val="superscript"/>
        <sz val="10"/>
        <rFont val="Arial"/>
        <family val="2"/>
      </rPr>
      <t>2</t>
    </r>
  </si>
  <si>
    <t>Population in the region =</t>
  </si>
  <si>
    <t>people</t>
  </si>
  <si>
    <t>Population of the largest settlement =</t>
  </si>
  <si>
    <t>acres</t>
  </si>
  <si>
    <t>==&gt;</t>
  </si>
  <si>
    <t>Laborers</t>
  </si>
  <si>
    <t>Total of the 10 largest settlements =</t>
  </si>
  <si>
    <t>Percentage of total population =</t>
  </si>
  <si>
    <t>Population spread</t>
  </si>
  <si>
    <t>Density</t>
  </si>
  <si>
    <t>% in settlements</t>
  </si>
  <si>
    <t>Cities</t>
  </si>
  <si>
    <t>Towns</t>
  </si>
  <si>
    <t>Number of settlements =</t>
  </si>
  <si>
    <t>% population in rural areas =</t>
  </si>
  <si>
    <t>Villages</t>
  </si>
  <si>
    <t>Farmers</t>
  </si>
  <si>
    <t>Lumber mills</t>
  </si>
  <si>
    <t>Settlement walls - wood</t>
  </si>
  <si>
    <t>Settlement walls - stone</t>
  </si>
  <si>
    <t>Watch towers, guardposts, tolls.</t>
  </si>
  <si>
    <t>Settlement fortifications</t>
  </si>
  <si>
    <t>Docks, shipbuilding, naval warehouses</t>
  </si>
  <si>
    <t>Mage family residences</t>
  </si>
  <si>
    <t>by: Richard Di Ioia</t>
  </si>
  <si>
    <t>Number of inhabitants</t>
  </si>
  <si>
    <t>Total number of inhabitants =</t>
  </si>
  <si>
    <t>Residences and shops</t>
  </si>
  <si>
    <t>people per household</t>
  </si>
  <si>
    <t>households</t>
  </si>
  <si>
    <t>Scribe</t>
  </si>
  <si>
    <t>Tithe</t>
  </si>
  <si>
    <t>Regular</t>
  </si>
  <si>
    <t>Farmer / Serfs</t>
  </si>
  <si>
    <t>cp / acre</t>
  </si>
  <si>
    <t>Guilded professions</t>
  </si>
  <si>
    <t>Weekly revenue</t>
  </si>
  <si>
    <t>Armorer</t>
  </si>
  <si>
    <t>Beastmaster</t>
  </si>
  <si>
    <t>Blacksmith</t>
  </si>
  <si>
    <t>Carpenter</t>
  </si>
  <si>
    <t>Chandler</t>
  </si>
  <si>
    <t>Fletcher</t>
  </si>
  <si>
    <t>Glassmaker</t>
  </si>
  <si>
    <t>Jeweler</t>
  </si>
  <si>
    <t>Locksmith</t>
  </si>
  <si>
    <t>Mason</t>
  </si>
  <si>
    <t>Physician</t>
  </si>
  <si>
    <t>Shipwright</t>
  </si>
  <si>
    <t>Tailor</t>
  </si>
  <si>
    <t>Tanner</t>
  </si>
  <si>
    <t>Non-guilded professions</t>
  </si>
  <si>
    <t>Beggar</t>
  </si>
  <si>
    <t>?</t>
  </si>
  <si>
    <t>Cartographer</t>
  </si>
  <si>
    <t>Cook</t>
  </si>
  <si>
    <t>Instructor</t>
  </si>
  <si>
    <t>Laborer</t>
  </si>
  <si>
    <t>Limner</t>
  </si>
  <si>
    <t>Linkboy</t>
  </si>
  <si>
    <t>Mercenary - bouncer</t>
  </si>
  <si>
    <t>Mercenary - grunt</t>
  </si>
  <si>
    <t>Mercenary - professional</t>
  </si>
  <si>
    <t>Pack handler</t>
  </si>
  <si>
    <t>Soldier - Militia</t>
  </si>
  <si>
    <t>Soldier - Regular</t>
  </si>
  <si>
    <t>Soldier - Sergeant</t>
  </si>
  <si>
    <t>Soldier - Captain</t>
  </si>
  <si>
    <t>Teamster</t>
  </si>
  <si>
    <t>Valet / Servant</t>
  </si>
  <si>
    <t>Metropolis</t>
  </si>
  <si>
    <t>people (recommended)</t>
  </si>
  <si>
    <t>people (GM selected)</t>
  </si>
  <si>
    <t>ALL CALCULATIONS BELOW ARE BASED ON THE GM SELECTED POPULATION</t>
  </si>
  <si>
    <t>Largest Settlement =</t>
  </si>
  <si>
    <t>Fiefdom generator</t>
  </si>
  <si>
    <t>This workbook will assist the individual in designing a campaign world.</t>
  </si>
  <si>
    <t>The user can go directly to the relevant worksheet or follow the top down steps as follows.</t>
  </si>
  <si>
    <t>1- Select the size of the territory to be designed. Will it be a country, province, county or fiefdom.</t>
  </si>
  <si>
    <t>2- Go to the Territory generator to design a high level set of information about the territory.</t>
  </si>
  <si>
    <t>A) The size of settlements in the territory.</t>
  </si>
  <si>
    <t>B) The population in the territory.</t>
  </si>
  <si>
    <t>3- With the information in #2 in hand, go to the fiefdom generator to design the overall fiefdom.</t>
  </si>
  <si>
    <t>B) The number of servants and soldiers in the noble's retinue.</t>
  </si>
  <si>
    <t>A) The size of the noble's residence.</t>
  </si>
  <si>
    <t>2nd largest settlement =</t>
  </si>
  <si>
    <t>3rd largest settlement =</t>
  </si>
  <si>
    <t>4th largest settlement =</t>
  </si>
  <si>
    <t>5th largest settlement =</t>
  </si>
  <si>
    <t>6th largest settlement =</t>
  </si>
  <si>
    <t>7th largest settlement =</t>
  </si>
  <si>
    <t>8th largest settlement =</t>
  </si>
  <si>
    <t>9th largest settlement =</t>
  </si>
  <si>
    <t>10th largest settlement =</t>
  </si>
  <si>
    <t xml:space="preserve">Cultivated land (farmed) = </t>
  </si>
  <si>
    <t xml:space="preserve">Cultivated land (urban) = </t>
  </si>
  <si>
    <t>Un-cultivated land (farm land left fallow) =</t>
  </si>
  <si>
    <t>Wild / barren / uncontrolled land =</t>
  </si>
  <si>
    <t># of servants</t>
  </si>
  <si>
    <t>C) Fiefdom maintenance</t>
  </si>
  <si>
    <t># of Squads</t>
  </si>
  <si>
    <t># of Regular</t>
  </si>
  <si>
    <t>of revenue</t>
  </si>
  <si>
    <t>Residence</t>
  </si>
  <si>
    <t>Value</t>
  </si>
  <si>
    <t>Fortified manor (Small)</t>
  </si>
  <si>
    <t>Fortified manor (Medium)</t>
  </si>
  <si>
    <t>Fortified manor (Large)</t>
  </si>
  <si>
    <t># of Captains</t>
  </si>
  <si>
    <t># of Sergeants</t>
  </si>
  <si>
    <t># of Regulars</t>
  </si>
  <si>
    <t>Castle (Small)</t>
  </si>
  <si>
    <t>Castle (Medium)</t>
  </si>
  <si>
    <t>Castle (Large)</t>
  </si>
  <si>
    <t>Food, lodging cost w/o family</t>
  </si>
  <si>
    <t>Food, lodging cost with family</t>
  </si>
  <si>
    <t>Employer always covers food, lodging and equipment for soldiers</t>
  </si>
  <si>
    <t>Soldier - Lieutenant</t>
  </si>
  <si>
    <t># of Lieutenants</t>
  </si>
  <si>
    <t># of Platoons</t>
  </si>
  <si>
    <t># of Companies</t>
  </si>
  <si>
    <t>King's tax</t>
  </si>
  <si>
    <t>Town, Small</t>
  </si>
  <si>
    <t>Town, Large</t>
  </si>
  <si>
    <t>City, Small</t>
  </si>
  <si>
    <t>City, Large</t>
  </si>
  <si>
    <t>% by # of able-bodied</t>
  </si>
  <si>
    <t>Human</t>
  </si>
  <si>
    <t>Dwarf</t>
  </si>
  <si>
    <t>Grey Elf</t>
  </si>
  <si>
    <t>High elf</t>
  </si>
  <si>
    <t>Wood elf</t>
  </si>
  <si>
    <t>Gnome</t>
  </si>
  <si>
    <t>Halfling</t>
  </si>
  <si>
    <t>Able-bodied</t>
  </si>
  <si>
    <t>Military</t>
  </si>
  <si>
    <t>Misc</t>
  </si>
  <si>
    <t>Main race within the settlement</t>
  </si>
  <si>
    <t>Elderly</t>
  </si>
  <si>
    <t>Young</t>
  </si>
  <si>
    <t>Infirm</t>
  </si>
  <si>
    <r>
      <t xml:space="preserve">Types of professions </t>
    </r>
    <r>
      <rPr>
        <sz val="14"/>
        <rFont val="Arial"/>
        <family val="2"/>
      </rPr>
      <t>(Factor to multiply the Race values)</t>
    </r>
  </si>
  <si>
    <t>Craft1</t>
  </si>
  <si>
    <t>Craft2</t>
  </si>
  <si>
    <t>Craft3</t>
  </si>
  <si>
    <t>Check</t>
  </si>
  <si>
    <t xml:space="preserve">Grey elf </t>
  </si>
  <si>
    <t>Farmer / peasant -- Farms</t>
  </si>
  <si>
    <t>Laborer -- Homes</t>
  </si>
  <si>
    <t>Hunters -- Cabins</t>
  </si>
  <si>
    <t>Roles</t>
  </si>
  <si>
    <t>Building ratio</t>
  </si>
  <si>
    <t>Acres</t>
  </si>
  <si>
    <r>
      <t>km</t>
    </r>
    <r>
      <rPr>
        <b/>
        <vertAlign val="superscript"/>
        <sz val="10"/>
        <rFont val="Arial"/>
        <family val="2"/>
      </rPr>
      <t>2</t>
    </r>
  </si>
  <si>
    <t>Dia (km)</t>
  </si>
  <si>
    <t>Smithy (Blacksmith)</t>
  </si>
  <si>
    <t>Bakery (Baker)</t>
  </si>
  <si>
    <t>Butcher shop (Butcher)</t>
  </si>
  <si>
    <t>General store (Merchant)</t>
  </si>
  <si>
    <t>Leather goods shop (Tanner)</t>
  </si>
  <si>
    <t>Pottery shop (Potter)</t>
  </si>
  <si>
    <t>Stonework shop (Mason)</t>
  </si>
  <si>
    <t>Armor shop (Armorer)</t>
  </si>
  <si>
    <t>Artist (Poet, Sculptor, Dancer, Painter)</t>
  </si>
  <si>
    <t>Museum or Art Gallery (Artist)</t>
  </si>
  <si>
    <t>Assassin hall (Assassin)</t>
  </si>
  <si>
    <t>Theater (Entertainer or Bard)</t>
  </si>
  <si>
    <t>Primary shops</t>
  </si>
  <si>
    <t>Secondary shops</t>
  </si>
  <si>
    <t>Tertiary shops</t>
  </si>
  <si>
    <t>Clothing store (Tailor)</t>
  </si>
  <si>
    <t>Furniture shop (Carpenter)</t>
  </si>
  <si>
    <t>Distillery (Brewer or Vintner)</t>
  </si>
  <si>
    <t>Dye Shop (Dye maker)</t>
  </si>
  <si>
    <t>Bow &amp; Arrow Shop (Fletcher)</t>
  </si>
  <si>
    <t>Herbal compounds Shop (Herbalist)</t>
  </si>
  <si>
    <t>Jewelery store (Jeweler)</t>
  </si>
  <si>
    <t>Lock shop (Locksmith)</t>
  </si>
  <si>
    <t>Tinker's shop (Mechanician)</t>
  </si>
  <si>
    <t>Gambling/Gaming hall (Merchant)</t>
  </si>
  <si>
    <t>Hospital or Veterinarian (Physician)</t>
  </si>
  <si>
    <t>Brothel / Bordello (Prostitute)</t>
  </si>
  <si>
    <t>College (Instructor or Scholar)</t>
  </si>
  <si>
    <t>Bookstore or Herald (Scribe)</t>
  </si>
  <si>
    <t>Weapon shop (Weaponsmith)</t>
  </si>
  <si>
    <t>Apocathary shop (Alchemist)</t>
  </si>
  <si>
    <t>Healer's shop (Healer)</t>
  </si>
  <si>
    <t>Bank or Trading house (Merchant)</t>
  </si>
  <si>
    <t>Magic shop (Thaumaturgist)</t>
  </si>
  <si>
    <t>Poison &amp; Antitode shop (Toxicologist)</t>
  </si>
  <si>
    <t>Entertainment (Entertainer or Bard)</t>
  </si>
  <si>
    <t>Lodges (hunter, mercenary, guild hall)</t>
  </si>
  <si>
    <t>Footwear (Cobbler)</t>
  </si>
  <si>
    <t>Rugs, Carpet and Yarn shop (Weaver)</t>
  </si>
  <si>
    <t>Adventurer or Thieve's den (Rogue)</t>
  </si>
  <si>
    <t>Group Cost</t>
  </si>
  <si>
    <t>Salary per year</t>
  </si>
  <si>
    <t>Captain</t>
  </si>
  <si>
    <t>Lieutenant</t>
  </si>
  <si>
    <t>Sergeant</t>
  </si>
  <si>
    <t>Title</t>
  </si>
  <si>
    <t>Select level of lord =</t>
  </si>
  <si>
    <t>Weekly revenue when employer pays F&amp;L</t>
  </si>
  <si>
    <t>F) Craftsmen services</t>
  </si>
  <si>
    <t>E) Soldiers payroll</t>
  </si>
  <si>
    <t>ACTUAL VALUES</t>
  </si>
  <si>
    <t>SUGGESTED VALUES</t>
  </si>
  <si>
    <t>Selected Resident value</t>
  </si>
  <si>
    <t>total households</t>
  </si>
  <si>
    <t># of weeks of service</t>
  </si>
  <si>
    <t>recommended weeks</t>
  </si>
  <si>
    <t>Shipwright shop (Shipwright)</t>
  </si>
  <si>
    <t>Wagon maker, Barrel maker (Carpenter)</t>
  </si>
  <si>
    <t>Wax &amp; Oils Shop (Chandler)</t>
  </si>
  <si>
    <t>Building material (Carpenter)</t>
  </si>
  <si>
    <t>Beekeeper (Beastmaster)</t>
  </si>
  <si>
    <t>Tavern (Barkeep)</t>
  </si>
  <si>
    <t>Inn (Innkeeper - Merchant)</t>
  </si>
  <si>
    <t>Inn (Barkeep)</t>
  </si>
  <si>
    <t>Inn (Cook)</t>
  </si>
  <si>
    <t>Monthly production</t>
  </si>
  <si>
    <t>Amount available for sale to outsiders</t>
  </si>
  <si>
    <t>Population</t>
  </si>
  <si>
    <t>Settlement</t>
  </si>
  <si>
    <t>Prevalent</t>
  </si>
  <si>
    <t>Common</t>
  </si>
  <si>
    <t>Uncommon</t>
  </si>
  <si>
    <t>Rare</t>
  </si>
  <si>
    <t>Very Rare</t>
  </si>
  <si>
    <t>Special</t>
  </si>
  <si>
    <t>Small town</t>
  </si>
  <si>
    <t>Large town</t>
  </si>
  <si>
    <t>Small city</t>
  </si>
  <si>
    <t>Large city</t>
  </si>
  <si>
    <t>Item Complexity</t>
  </si>
  <si>
    <t>Basic</t>
  </si>
  <si>
    <t>Standard</t>
  </si>
  <si>
    <t>Advanced</t>
  </si>
  <si>
    <t>Primary</t>
  </si>
  <si>
    <t>Secondary</t>
  </si>
  <si>
    <t>Tertiary</t>
  </si>
  <si>
    <t>Craft</t>
  </si>
  <si>
    <t>Number of transient, infirm, criminal</t>
  </si>
  <si>
    <t>Number of young</t>
  </si>
  <si>
    <t>Number of elderly</t>
  </si>
  <si>
    <t>Number of able-bodied adults</t>
  </si>
  <si>
    <t>% primary skills</t>
  </si>
  <si>
    <t>% secondary skills</t>
  </si>
  <si>
    <t>% tertiary skills</t>
  </si>
  <si>
    <t>Effective Able Bodied</t>
  </si>
  <si>
    <t>B) Residence &amp; noble living cost</t>
  </si>
  <si>
    <t>Net cost</t>
  </si>
  <si>
    <t>A) Taxes and Tithes</t>
  </si>
  <si>
    <t>Net taxes &amp; tithes</t>
  </si>
  <si>
    <t>Tax to King</t>
  </si>
  <si>
    <t>Higher level noble tithes</t>
  </si>
  <si>
    <t>Total yearly revenue =</t>
  </si>
  <si>
    <t>Castle (Huge)</t>
  </si>
  <si>
    <t>Citadel</t>
  </si>
  <si>
    <t>Palace</t>
  </si>
  <si>
    <t>Size of their demesne =</t>
  </si>
  <si>
    <t>Population of the demesne =</t>
  </si>
  <si>
    <t>Population of the vassal lands =</t>
  </si>
  <si>
    <t>Size of the vassal lands =</t>
  </si>
  <si>
    <t>Total size of Area =</t>
  </si>
  <si>
    <t>Personal Demesne</t>
  </si>
  <si>
    <t>Vassal lands</t>
  </si>
  <si>
    <t>Each farming household cultivates 24 acres.</t>
  </si>
  <si>
    <t>Each non-farming household maintains 1 acre.</t>
  </si>
  <si>
    <t>Fallow farm land that is rotated out year to year.</t>
  </si>
  <si>
    <t>Land that could be used to hunt or just ignored.</t>
  </si>
  <si>
    <r>
      <t>1 km</t>
    </r>
    <r>
      <rPr>
        <vertAlign val="superscript"/>
        <sz val="10"/>
        <rFont val="Arial"/>
        <family val="2"/>
      </rPr>
      <t>2</t>
    </r>
    <r>
      <rPr>
        <sz val="10"/>
        <rFont val="Arial"/>
        <family val="2"/>
      </rPr>
      <t xml:space="preserve"> = 250 acres</t>
    </r>
  </si>
  <si>
    <t>Yearly revenue =</t>
  </si>
  <si>
    <t>Noble additional revenue sources</t>
  </si>
  <si>
    <t>Sub-total yearly revenue =</t>
  </si>
  <si>
    <t>King</t>
  </si>
  <si>
    <t>H) Yearly Profit</t>
  </si>
  <si>
    <t>Monthly profit</t>
  </si>
  <si>
    <t>Weekly profit</t>
  </si>
  <si>
    <t>Profit as a percentage of revenue</t>
  </si>
  <si>
    <t># of servitors</t>
  </si>
  <si>
    <t>Tithe from farm land (value = 4 gp / acre).</t>
  </si>
  <si>
    <t># soldiers and servitors</t>
  </si>
  <si>
    <t>Supportable # servants</t>
  </si>
  <si>
    <t xml:space="preserve">Supportable # servitors &amp; soldiers </t>
  </si>
  <si>
    <t>D) Servitor payroll</t>
  </si>
  <si>
    <t>Average yearly salary of servitors</t>
  </si>
  <si>
    <t>Average weekly salary of craftsmen</t>
  </si>
  <si>
    <t>G) Employee food &amp; clothing &amp; tools</t>
  </si>
  <si>
    <t>HUMANS</t>
  </si>
  <si>
    <t>GNOMES</t>
  </si>
  <si>
    <t>Population calculation</t>
  </si>
  <si>
    <t>Year</t>
  </si>
  <si>
    <t>1st gen kids promoted to adulthood</t>
  </si>
  <si>
    <t>2nd gen kids promoted to adulthood</t>
  </si>
  <si>
    <t>3rd gen kids promoted to adulthood</t>
  </si>
  <si>
    <t># of original generation kids</t>
  </si>
  <si>
    <t># of new first generation kids</t>
  </si>
  <si>
    <t>original gen kids promoted to adulthood</t>
  </si>
  <si>
    <t># of new second generation kids</t>
  </si>
  <si>
    <t># of new third generation kids</t>
  </si>
  <si>
    <t># of new fourth generation kids</t>
  </si>
  <si>
    <t>After 200 years;</t>
  </si>
  <si>
    <t>4th gen kids promoted to adulthood</t>
  </si>
  <si>
    <t># of new fifth generation kids</t>
  </si>
  <si>
    <t>5th gen kids promoted to adulthood</t>
  </si>
  <si>
    <t># of new sixth generation kids</t>
  </si>
  <si>
    <t>6th gen kids promoted to adulthood</t>
  </si>
  <si>
    <t># of new seventh generation kids</t>
  </si>
  <si>
    <t>Adults</t>
  </si>
  <si>
    <t>Kids</t>
  </si>
  <si>
    <t>350 years;</t>
  </si>
  <si>
    <t>DWARVES</t>
  </si>
  <si>
    <t>7th gen kids promoted to adulthood</t>
  </si>
  <si>
    <t># of new eigth generation kids</t>
  </si>
  <si>
    <t>8th gen kids promoted to adulthood</t>
  </si>
  <si>
    <t># of new ninth generation kids</t>
  </si>
  <si>
    <t>ELVES</t>
  </si>
  <si>
    <t>Number of kids (&lt;50 years)</t>
  </si>
  <si>
    <t>Halflings</t>
  </si>
  <si>
    <t>Maximum age is 120 years old</t>
  </si>
  <si>
    <t>Half are alive</t>
  </si>
  <si>
    <t>In year 200, those born here are:</t>
  </si>
  <si>
    <t>all dead</t>
  </si>
  <si>
    <t>all alive</t>
  </si>
  <si>
    <t>half alive</t>
  </si>
  <si>
    <t>In year 360, those born here are:</t>
  </si>
  <si>
    <t>In year 350, those born here are:</t>
  </si>
  <si>
    <t>360 years;</t>
  </si>
  <si>
    <t>9th gen kids promoted to adulthood</t>
  </si>
  <si>
    <t># of new tenth generation kids</t>
  </si>
  <si>
    <t>1-th gen kids promoted to adulthood</t>
  </si>
  <si>
    <t># of new 11 generation kids</t>
  </si>
  <si>
    <t>11th gen kids promoted to adulthood</t>
  </si>
  <si>
    <t># of new 12 generation kids</t>
  </si>
  <si>
    <t>12th gen kids promoted to adulthood</t>
  </si>
  <si>
    <t># of new 13 generation kids</t>
  </si>
  <si>
    <t>13th gen kids promoted to adulthood</t>
  </si>
  <si>
    <t># of new 14 generation kids</t>
  </si>
  <si>
    <t>14th gen kids promoted to adulthood</t>
  </si>
  <si>
    <t># of new 15 generation kids</t>
  </si>
  <si>
    <t>Number of kids (&lt;16 years)</t>
  </si>
  <si>
    <t>Number of kids (&lt;14 years)</t>
  </si>
  <si>
    <t>Maximum age is 65 years old</t>
  </si>
  <si>
    <t>Number of elderly (55+ years)</t>
  </si>
  <si>
    <t>Number of elderly (100+ years)</t>
  </si>
  <si>
    <t>Number of adults (14-90 years)</t>
  </si>
  <si>
    <t>Orcs</t>
  </si>
  <si>
    <t>Maximum age is 50 years old</t>
  </si>
  <si>
    <t>quarter alive</t>
  </si>
  <si>
    <t>Number of elderly (42+ years)</t>
  </si>
  <si>
    <t>three quarters</t>
  </si>
  <si>
    <t>Number of adults (8-42 years)</t>
  </si>
  <si>
    <t>Number of kids (&lt;8 years)</t>
  </si>
  <si>
    <t>Number of adults (16-55 years)</t>
  </si>
  <si>
    <t>Craftsmen -- Shops &amp; living quarters</t>
  </si>
  <si>
    <t>Professionals -- Shops &amp; living quarters</t>
  </si>
  <si>
    <t>----- CRAFTS  -----------------------------------</t>
  </si>
  <si>
    <t>Total # of bldgs</t>
  </si>
  <si>
    <t>Restaurant (Cook)</t>
  </si>
  <si>
    <t>Total human C&amp;P</t>
  </si>
  <si>
    <t>Craftmen</t>
  </si>
  <si>
    <t>Professionals</t>
  </si>
  <si>
    <t>Race</t>
  </si>
  <si>
    <t>Animal handler, common (Beastmaster)</t>
  </si>
  <si>
    <t>Animal breeder, advanced (Beastmaster)</t>
  </si>
  <si>
    <t>Animal breeder, exotic (Beastmaster)</t>
  </si>
  <si>
    <t>Country</t>
  </si>
  <si>
    <t>Percentages</t>
  </si>
  <si>
    <t>Total pop</t>
  </si>
  <si>
    <t>Elf</t>
  </si>
  <si>
    <t>Half-orc</t>
  </si>
  <si>
    <t>Other</t>
  </si>
  <si>
    <t>Ahlissa</t>
  </si>
  <si>
    <t>High</t>
  </si>
  <si>
    <t>Sylvan</t>
  </si>
  <si>
    <t>Half-elf</t>
  </si>
  <si>
    <t>Bandit kingdoms</t>
  </si>
  <si>
    <t>Bissel</t>
  </si>
  <si>
    <t>Mountain</t>
  </si>
  <si>
    <t>Hill</t>
  </si>
  <si>
    <t>Unspec elf</t>
  </si>
  <si>
    <t>Blackmoor</t>
  </si>
  <si>
    <t>Bone march</t>
  </si>
  <si>
    <t>Orc</t>
  </si>
  <si>
    <t>Bright lands</t>
  </si>
  <si>
    <t>Celene</t>
  </si>
  <si>
    <t>Grey</t>
  </si>
  <si>
    <t>Dyvers</t>
  </si>
  <si>
    <t>Ekbir</t>
  </si>
  <si>
    <t>Frost barbarians</t>
  </si>
  <si>
    <t>Furyondy</t>
  </si>
  <si>
    <t>Geoff</t>
  </si>
  <si>
    <t>Gran March</t>
  </si>
  <si>
    <t>Numbers from LGG.</t>
  </si>
  <si>
    <t>Highfolk</t>
  </si>
  <si>
    <t>Ice barbarians</t>
  </si>
  <si>
    <t>Irongate</t>
  </si>
  <si>
    <t>Keoland</t>
  </si>
  <si>
    <t>Ket</t>
  </si>
  <si>
    <t>Lendore isles</t>
  </si>
  <si>
    <t>Lordship of the isles</t>
  </si>
  <si>
    <t>North kingdom</t>
  </si>
  <si>
    <t>Goblinoids</t>
  </si>
  <si>
    <t>Nyrond</t>
  </si>
  <si>
    <t>Onnwal</t>
  </si>
  <si>
    <t>Pale</t>
  </si>
  <si>
    <t>Paynims</t>
  </si>
  <si>
    <t>Perrenland</t>
  </si>
  <si>
    <t>Ratik</t>
  </si>
  <si>
    <t>Rovers of the barren</t>
  </si>
  <si>
    <t>Scarlet brotherhood</t>
  </si>
  <si>
    <t>Sea barons</t>
  </si>
  <si>
    <t>Sea princes</t>
  </si>
  <si>
    <t>Shield lands</t>
  </si>
  <si>
    <t>Snow barbarians</t>
  </si>
  <si>
    <t>Sterich</t>
  </si>
  <si>
    <t>Stonehold</t>
  </si>
  <si>
    <t>Sunndi</t>
  </si>
  <si>
    <t>Tenh</t>
  </si>
  <si>
    <t>Tiger nomads</t>
  </si>
  <si>
    <t>Tusmit</t>
  </si>
  <si>
    <t>Ulek county</t>
  </si>
  <si>
    <t>Ulek duchy</t>
  </si>
  <si>
    <t>Ulek principality</t>
  </si>
  <si>
    <t>Ull</t>
  </si>
  <si>
    <t>Urnst county</t>
  </si>
  <si>
    <t>Urnst duchy</t>
  </si>
  <si>
    <t>Valley of the mage</t>
  </si>
  <si>
    <t>Valley</t>
  </si>
  <si>
    <t>Veluna</t>
  </si>
  <si>
    <t>Verbobonc</t>
  </si>
  <si>
    <t>Wolf nomads</t>
  </si>
  <si>
    <t>Yeomanry</t>
  </si>
  <si>
    <t>Zeif</t>
  </si>
  <si>
    <t>Gnarley forest</t>
  </si>
  <si>
    <t>Guess</t>
  </si>
  <si>
    <t>Vesve</t>
  </si>
  <si>
    <t>Flinty hills</t>
  </si>
  <si>
    <t>Kron hills</t>
  </si>
  <si>
    <t>Sub-Total</t>
  </si>
  <si>
    <t>Percentage</t>
  </si>
  <si>
    <t>4- Then start designig each relevant settlement using the Settlement generator.</t>
  </si>
  <si>
    <t>The other worksheets are there to customize the data used in the calculation sheets.</t>
  </si>
  <si>
    <t>As a general rule of thumb -- the cells in Blue are where the GM enters their data.</t>
  </si>
  <si>
    <t>Lowest (Manorial lord, etc)</t>
  </si>
  <si>
    <t>Mid (Earl, Baron, etc)</t>
  </si>
  <si>
    <t>Highest (Duke, Count, etc)</t>
  </si>
  <si>
    <t>Sparse (2 people / km2)</t>
  </si>
  <si>
    <t>Frontier (4 people / km2)</t>
  </si>
  <si>
    <t>GM selection =</t>
  </si>
  <si>
    <t>Civilized; Kingdom capital district (16 people / km2)</t>
  </si>
  <si>
    <t>Dense; Empire capital district (32 people / km2)</t>
  </si>
  <si>
    <t>Population of 2nd largest settlement =</t>
  </si>
  <si>
    <t>Population of 3rd largest settlement =</t>
  </si>
  <si>
    <t>Population of 4th largest settlement =</t>
  </si>
  <si>
    <t>Population of 5th largest settlement =</t>
  </si>
  <si>
    <t>Population of 6th largest settlement =</t>
  </si>
  <si>
    <t>Population of 7th largest settlement =</t>
  </si>
  <si>
    <t>Population of 8th largest settlement =</t>
  </si>
  <si>
    <t>Population of 9th largest settlement =</t>
  </si>
  <si>
    <t>Population of 10th largest settlement =</t>
  </si>
  <si>
    <t>Random:</t>
  </si>
  <si>
    <t>Territory generator</t>
  </si>
  <si>
    <t>Territory name =</t>
  </si>
  <si>
    <t>Europe medieval average (8 people / km2)</t>
  </si>
  <si>
    <t>avg pop per metropolis</t>
  </si>
  <si>
    <t>avg pop per city</t>
  </si>
  <si>
    <t>avg pop per town</t>
  </si>
  <si>
    <t>avg pop per village</t>
  </si>
  <si>
    <t>avg pop per hamlet</t>
  </si>
  <si>
    <t>Total population in metropolis</t>
  </si>
  <si>
    <t>Total population in cities</t>
  </si>
  <si>
    <t>Total population in towns</t>
  </si>
  <si>
    <t>Total population in villages</t>
  </si>
  <si>
    <t># of Priests</t>
  </si>
  <si>
    <t>This worksheet can be adjusted by changing the Deity names in Column "C" and the Number of priest in Column "D" to create religious variation in different countries.</t>
  </si>
  <si>
    <t>This worksheet can be adjusted by replacing the names in columns "B" and "C". If you add names, you would need to go back to the other spreadsheets and extend the lookup formulas.</t>
  </si>
  <si>
    <t>Territory</t>
  </si>
  <si>
    <t>Pop #</t>
  </si>
  <si>
    <t>By Richard Di Ioia</t>
  </si>
  <si>
    <t>Clergy buildings</t>
  </si>
  <si>
    <t>Approx % shrines per able-bodied</t>
  </si>
  <si>
    <t>Approx % able-bodied are clergy</t>
  </si>
  <si>
    <t>Total Shrines</t>
  </si>
  <si>
    <t>Total Clergy members</t>
  </si>
  <si>
    <t>Approx %</t>
  </si>
  <si>
    <t>Bldg size (acres)</t>
  </si>
  <si>
    <t>Total # able-body</t>
  </si>
  <si>
    <t>% by mage order</t>
  </si>
  <si>
    <t>Approx % able-bodied are mages</t>
  </si>
  <si>
    <r>
      <t xml:space="preserve">Density </t>
    </r>
    <r>
      <rPr>
        <sz val="8"/>
        <rFont val="Arial"/>
        <family val="2"/>
      </rPr>
      <t>(people/acre)</t>
    </r>
  </si>
  <si>
    <t>Financial capacity</t>
  </si>
  <si>
    <t>Maximum value of an individual item</t>
  </si>
  <si>
    <t>Settlement Qualities</t>
  </si>
  <si>
    <t>Settlement describers</t>
  </si>
  <si>
    <t>Corruption</t>
  </si>
  <si>
    <t>Crime</t>
  </si>
  <si>
    <t>Economy</t>
  </si>
  <si>
    <t>Law</t>
  </si>
  <si>
    <t>Lore</t>
  </si>
  <si>
    <t>Society</t>
  </si>
  <si>
    <t>Government</t>
  </si>
  <si>
    <t xml:space="preserve">Secret Syndicate </t>
  </si>
  <si>
    <t xml:space="preserve">Autocracy </t>
  </si>
  <si>
    <t xml:space="preserve">Council </t>
  </si>
  <si>
    <t xml:space="preserve">Magical </t>
  </si>
  <si>
    <t>Overlord</t>
  </si>
  <si>
    <t>Colonial</t>
  </si>
  <si>
    <t>Dynasty</t>
  </si>
  <si>
    <t>Theocracy</t>
  </si>
  <si>
    <t>Plutocracy</t>
  </si>
  <si>
    <t>A group of councilors, often composed of guild masters or members of the aristocracy, leads the settlement.</t>
  </si>
  <si>
    <t>Power is concentrated in the hands of a single family or a small group of closely related, inter-married families. These elites have ruled the settlement since its inception, and manipulated the power structure to ensure they remain in power.</t>
  </si>
  <si>
    <t>An individual or group with potent magical power, such as A high priest, an archwizard, or even a magical monster, leads the community.</t>
  </si>
  <si>
    <t>The settlement is an armed garrison that exists solely to serve the military forces deployed there. It may be a massive military base and training complex, a wilderness fortress or a keep that patrols a major trade route, depending on its size. The settlement may even be an ordinary town or city that recently fell under military rule after a coup or uprising that led to the declaration of martial law.</t>
  </si>
  <si>
    <t>The community’s ruler is a single individual who either seized control or inherited command of the settlement.</t>
  </si>
  <si>
    <t>An unofficial or illegal group like a thieves’ guild rules the settlement—they may use a puppet leader to maintain secrecy, but the group members pull the strings in town.</t>
  </si>
  <si>
    <t>The wealthiest and most influential merchants rule this settlement. Wealth is seen as a sign of good character, ethics and even divine favor. The poor have few, if any rights that the wealthy are bound to respect.</t>
  </si>
  <si>
    <t>A single individual chosen by the people rules the community. This leader’s actual title can vary—mayor, burgomaster, lord, or even royal titles like duke or prince are common.</t>
  </si>
  <si>
    <t>Settlement size</t>
  </si>
  <si>
    <t>Abundant</t>
  </si>
  <si>
    <t>Abstinent</t>
  </si>
  <si>
    <t>Academic</t>
  </si>
  <si>
    <t>Adventure site</t>
  </si>
  <si>
    <t>Animal polyglot</t>
  </si>
  <si>
    <t>Artifact gatherer</t>
  </si>
  <si>
    <t>Artist's colony</t>
  </si>
  <si>
    <t>Asylum</t>
  </si>
  <si>
    <t>Broad minded</t>
  </si>
  <si>
    <t>City of the dead</t>
  </si>
  <si>
    <t>Cruel watch</t>
  </si>
  <si>
    <t>Cultured</t>
  </si>
  <si>
    <t>Darkvision</t>
  </si>
  <si>
    <t>Decadent</t>
  </si>
  <si>
    <t>Deep traditions</t>
  </si>
  <si>
    <t>Defensible</t>
  </si>
  <si>
    <t>Defiant</t>
  </si>
  <si>
    <t>Desecrate / Hallow</t>
  </si>
  <si>
    <t>Eldritch</t>
  </si>
  <si>
    <t>Famed breeders</t>
  </si>
  <si>
    <t>Financial center</t>
  </si>
  <si>
    <t>Free city</t>
  </si>
  <si>
    <t>Gambling</t>
  </si>
  <si>
    <t>God ruled</t>
  </si>
  <si>
    <t>Good roads</t>
  </si>
  <si>
    <t>Guilds</t>
  </si>
  <si>
    <t>Holy site</t>
  </si>
  <si>
    <t>Insular</t>
  </si>
  <si>
    <t>Legendary marketplace</t>
  </si>
  <si>
    <t>Living forest</t>
  </si>
  <si>
    <t>Long memory</t>
  </si>
  <si>
    <t>Magically attuned</t>
  </si>
  <si>
    <t>Magical polyglot</t>
  </si>
  <si>
    <t>Majestic</t>
  </si>
  <si>
    <t>Militarized</t>
  </si>
  <si>
    <t>Mobile: Frontlines</t>
  </si>
  <si>
    <t>Mobile: Sanctuary</t>
  </si>
  <si>
    <t>Morally permissive</t>
  </si>
  <si>
    <t>Mythic sanctum</t>
  </si>
  <si>
    <t>No questions asked</t>
  </si>
  <si>
    <t>Notorious</t>
  </si>
  <si>
    <t>Peacebonding</t>
  </si>
  <si>
    <t>Phantasmal</t>
  </si>
  <si>
    <t>Pious</t>
  </si>
  <si>
    <t>Planar crossroads</t>
  </si>
  <si>
    <t>Planned community</t>
  </si>
  <si>
    <t>Pocket universe</t>
  </si>
  <si>
    <t>Population surge</t>
  </si>
  <si>
    <t>Prosperous</t>
  </si>
  <si>
    <t>Racially intolerant</t>
  </si>
  <si>
    <t>Racial enclave</t>
  </si>
  <si>
    <t>Resettled ruins</t>
  </si>
  <si>
    <t>Religious tolerance</t>
  </si>
  <si>
    <t>Resource surplus</t>
  </si>
  <si>
    <t>Restrictive</t>
  </si>
  <si>
    <t>Romantic</t>
  </si>
  <si>
    <t>Royal accomodations</t>
  </si>
  <si>
    <t>Rule of might</t>
  </si>
  <si>
    <t>Rumormongering citizens</t>
  </si>
  <si>
    <t>Rural</t>
  </si>
  <si>
    <t>Sacred animals</t>
  </si>
  <si>
    <t>Sexist</t>
  </si>
  <si>
    <t>Slumbering monster</t>
  </si>
  <si>
    <t>Small-folk settlement</t>
  </si>
  <si>
    <t>Strategic location</t>
  </si>
  <si>
    <t>Subterranean</t>
  </si>
  <si>
    <t>Superstitious</t>
  </si>
  <si>
    <t>Supportive</t>
  </si>
  <si>
    <t>Timid citizens</t>
  </si>
  <si>
    <t>Therapeutic</t>
  </si>
  <si>
    <t>Trading post</t>
  </si>
  <si>
    <t>Tourist attraction</t>
  </si>
  <si>
    <t>Unaging</t>
  </si>
  <si>
    <t>Under-city</t>
  </si>
  <si>
    <t>Unholy site</t>
  </si>
  <si>
    <t>Untamed</t>
  </si>
  <si>
    <t>Well educated</t>
  </si>
  <si>
    <t>Wealth disparity</t>
  </si>
  <si>
    <t>None</t>
  </si>
  <si>
    <t>Starting modifier</t>
  </si>
  <si>
    <t>The settlement has access to extraordinary natural resources: rich farmland, a deep lake, excellent hunting grounds nearby or even a convenient source of magical sustenance. The local food surplus makes the settlement a major exporting hub, and increases the standard of living for its inhabitants.</t>
  </si>
  <si>
    <t>The settlement religious or moral convictions force it to deny some of the world’s more common vices. The settlement prohibits a common vice: usually alcohol is prohibited, but other abstinent settlements might ban stronger drugs, tobacco, prostitution, or even ‘indulgent’ foods like fine pastries, meat, or similar.</t>
  </si>
  <si>
    <t>The settlement possesses a school, training facility, or university of great renown.</t>
  </si>
  <si>
    <t>Proximity to a famous adventuring location has long drawn curious adventures from across the land.</t>
  </si>
  <si>
    <t>The sale of a certain kind of rare item is heavily restricted. This may be items of a magical, technological, or psychic origin.</t>
  </si>
  <si>
    <t>The settlement is renowned for the excellence of its local artists, performers and craftsfolk.</t>
  </si>
  <si>
    <t>The settlement is host to an infamous madhouse or asylum (or perhaps a prison, gaol or notorious workhouse). The presence of these dangerous, mad souls has hardened the townsfolk, making them suspicious of strangers and paranoid about the possibility of an escape or other tragedy.</t>
  </si>
  <si>
    <t>The citizens are open, friendly, and tolerant, and react positively towards visitors.</t>
  </si>
  <si>
    <t>The settlement abuts a massive, historically significant graveyard, massive tomb or mausoleum complex. Its monuments are well maintained, and a powerful ancestor cult exists within the city, either in replacement or addition to traditional religions.</t>
  </si>
  <si>
    <t>The settlement’s civic watch or police force is infamous for its brutality, effectiveness, cruelty and corruption.</t>
  </si>
  <si>
    <t>The settlement is well known for its culture of artistry, particularly among actors and musicians.</t>
  </si>
  <si>
    <t>Most of the citizens have darkvision, and thus nights provide no cover for thieves and other criminals.Merchants lose little inventory to dishonesty.</t>
  </si>
  <si>
    <t>The settlement’s vast wealth and proud, ancient heritage has made it a haven for corruption and sin.</t>
  </si>
  <si>
    <t>The settlement is bolstered by its strong traditions, but its citizens have difficulty interacting with visitors.</t>
  </si>
  <si>
    <t>The settlement is strategically situated to make it easier to defend, giving its inhabitants confidence and making the settlement a major local trade hub.</t>
  </si>
  <si>
    <t>The citizens of this settlement have a natural predilection for free thinking that borders on rebellious action.</t>
  </si>
  <si>
    <t>This settlement is home to powerful banks, mints, trading houses, currency exchanges and other powerful financial and mercantile organizations.</t>
  </si>
  <si>
    <t>The city’s libertarian laws make it a haven for fugitives and outcasts of all kinds, from runaway children, serfs who escaped their lord’s lands, criminals and escaped slaves alike. Foreign adventurers and bounty hunters cannot arrest or capture fugitives within the settlement’s borders.</t>
  </si>
  <si>
    <t>Casinos, gaming houses, opium dens and bordellos are all common here, and serve as the town’s major industry.</t>
  </si>
  <si>
    <t>The settlement has an extensive road network. These roads are well-maintained and allow for quick movement of troops and merchandise.</t>
  </si>
  <si>
    <t>A variety of trade and mercantile guilds control the town’s industry and trade. These guilds are highly specialized (a printer’s guild, an eggler’s guild, a swordsmith’s guild, a diamond cutter’s guild,ect), and usually semi-hereditary, with children following their parents into the guild.</t>
  </si>
  <si>
    <t>The settlement hosts a shrine, temple, or landmark with great significance to one or more religions. The settlement has a higher percentage of divine spellcasters in its population.</t>
  </si>
  <si>
    <t>The settlement is isolated, perhaps physically or even spiritually. Its citizens are fiercely loyal to one another.</t>
  </si>
  <si>
    <t>The settlement is justly famed for its markets: almost anything may be for sale here! </t>
  </si>
  <si>
    <t>This settlement is a magical place, carved from the living heart of an ancient forest. The trees form themselves into homes, and branches bend to provide the settlement’s inhabitants with food, in the form of magical, druid-tended fruits and berries.</t>
  </si>
  <si>
    <t>The settlement is a haven for spellcasters due to its location; for example, it may lie at the convergence of multiple ley lines or near a well-known magical site. </t>
  </si>
  <si>
    <t>The settlement is blessed with a magical aura that allows all sentient creatures within its borders to understand one another as if they shared a common language. This permanent magical effect is similar to the tongues spell, and has no effect on written language, only the words spoken by the settlement’s inhabitants.</t>
  </si>
  <si>
    <t>The populace is devoted to the armed forces. Civil and military law is intertwined, punishments are harsh, and loyalty to the state is expected.</t>
  </si>
  <si>
    <t>This mobile city is designed to patrol its kingdom or territory, responding to threats and offering the city’s defenses to those in need.</t>
  </si>
  <si>
    <t>This mobile settlement is designed to retreat from danger, moving to a safer location when threatened by natural disasters, invasion or famine threatens.</t>
  </si>
  <si>
    <t>The settlement is a seat of power for one or more living mythic characters, granting each of the mythic characters additional influence so long as they reside here.</t>
  </si>
  <si>
    <t>The citizens mind their own business and respect a visitor’s privacy.</t>
  </si>
  <si>
    <t>The settlement has a reputation (deserved or not) for being a den of iniquity. Thieves, rogues, and cutthroats are much more common here.</t>
  </si>
  <si>
    <t>The settlement simply isn’t always there!</t>
  </si>
  <si>
    <t>The settlement is known for its inhabitants’ good manners, friendly spirit, and deep devotion to a deity (this deity must be of the same alignment as the community).</t>
  </si>
  <si>
    <t>Natural or artificial planar gates near the settlement make it a cross-roads for planar travel. Creatures from across the multiverse, both malevolent and benign, can be found here, as can their artifacts.</t>
  </si>
  <si>
    <t>The community’s design was determined in advance, every detail planned out before the first keystone was laid. Streets are wide, straight and laid out on an orderly grid, neighborhoods and districts are segregated by purpose, as are the living quarters of the city’s inhabitants.</t>
  </si>
  <si>
    <t>Thanks to a magical fold in space and time, the settlement exists in a place far too small to sustain it. A sleepy hamlet might be found in an old mansion’s disused pantry, a huge fortress might hide the space between two old oaks, or a planar metropolis might be contained within a single cramped alley of a much less important city-state.</t>
  </si>
  <si>
    <t>This settlement is home to a greater than usual percentage of children, making it energetic and lively.</t>
  </si>
  <si>
    <t>The settlement is a popular hub for trade. Merchants are wealthy and the citizens live well.</t>
  </si>
  <si>
    <t>The community is prejudiced against one or more races, which are listed in parentheses. (Members of the unwelcome race or races must pay 150% of the normal price for goods and services and may face mockery, insult, or even violence)</t>
  </si>
  <si>
    <t>The settlement is known for its widespread religious tolerance, and many faiths have temples, cathedrals or monasteries here. Religious debates in the public square are common.</t>
  </si>
  <si>
    <t>Foreigners who settle in this settlement are prohibited from owning property in certain districts and sometimes pay a higher price for goods. This disdain rarely involves violence towards foreigners, though the city guard monitors strangers to ensure they don’t cross the boundaries of the city without appropriate paperwork.</t>
  </si>
  <si>
    <t>The settlement’s inhabitants are renowned for their stunning beauty and charm, and the location has been made famous in dozens of romantic songs, poems and bawdy limericks. Affairs of the heart are common here, among the town’s hotblooded, lusty inhabitants.</t>
  </si>
  <si>
    <t>One or more members of a royal dynasty call the settlement home. As such, security is extremely tight, and the local economy has taken flight, as merchants catering to the nobility have sprung up.</t>
  </si>
  <si>
    <t>The settlement has a tradition of rule by the strongest individual.</t>
  </si>
  <si>
    <t>The settlement’s citizens are nosy and gossipy to a fault—very little happens in the settlement that no one knows about.</t>
  </si>
  <si>
    <t>The settlement, no matter its size, has never lost its sleepy, small-town atmosphere. The settlement sprawls across a wide, mostly open area, and despite the distances between homes and buildings, neighbors look out for one another.</t>
  </si>
  <si>
    <t>In this settlement there is a great taboo (punishable by death, exile or other severe penance) about killing a particular breed of beast. Depending on the settlement, the sacred animal might be innocuous (house cats, ravens), irritating and mischievous (monkeys) or a stubborn hazard on the roads (horses, cattle). The animals have free run of the settlement.</t>
  </si>
  <si>
    <t>The settlement is home to some form of powerful and ancient monster- a slumbering behemoth, a dark god imprisoned by magical means, an ancient war-robot kept in stasis, or some other, currently inert threat. The inhabitants of the settlement expend vast effort keeping their monstrous prisoner contained, and by doing so, they have developed an impressive mastery of arcana.</t>
  </si>
  <si>
    <t>The settlement sits at an important crossroads or alongside a deepwater port, or it serves as a barrier to a pass or bridge. </t>
  </si>
  <si>
    <t>The settlement is primarily built underground, sheltering it from enemies but also isolating it culturally.</t>
  </si>
  <si>
    <t>The community has a deep and abiding fear of magic and the unexplained, but this fear has caused its citizens to become more supportive and loyal to each other and their settlement.</t>
  </si>
  <si>
    <t>The settlement provides aid to its citizens. A number of programs provide food and shelter to he less fortunate. Everyone in the settlement is guaranteed at least two meals a day and a place to sleep with a roof over their head.</t>
  </si>
  <si>
    <t>Citizens are quiet and keep to themselves. Crimes often go unreported.</t>
  </si>
  <si>
    <t>The settlement is known for its minor healing properties- medicinal hot springs, clean, invigorating mountain air, a plethora of locally grown healing herbs and fruits, or perhaps some divine blessing. Whatever the reason, hospitals, nurseries, retreats and sanitariums are common within the settlement.</t>
  </si>
  <si>
    <t>The settlement’s primary purpose is trade.</t>
  </si>
  <si>
    <t>The settlement possesses some sort of landmark or event that draws visitors from far and wide.</t>
  </si>
  <si>
    <t>The settlement’s magical aura prevents those within its borders from aging. They do not suffer the ravages of time, and do not physically age. Usually, several kibbutz or schools near the settlement, but not within its borders are established, to allow the community’s children to age to adulthood before they take their unchanging place in the settlement’s immortal society.</t>
  </si>
  <si>
    <t>The settlement is built atop a dangerous subterranean structure, filled with monsters and a haven for criminals and outcasts. This under-city might be a massive sewer system, disused railway or subway tunnels, ruined and forgotten basements or dungeons, or a nearby mine or natural cavern system, perhaps even one that descends miles beneath the earth.</t>
  </si>
  <si>
    <t>The settlement serves as an unholy site for an evil god or philosophy. Worshipers of the evil deity flock to this settlement.</t>
  </si>
  <si>
    <t>The area around the settlement is still mostly untainted, unclaimed wilderness. This settlement may be a remote logging village, a trading post sprung up around a desert oasis or a small mountain keep, for instance.</t>
  </si>
  <si>
    <t>The settlement’s inhabitants are incredibly well educated and known for their sharp wits.</t>
  </si>
  <si>
    <t>The wealthy and poor of this settlement are segregated. </t>
  </si>
  <si>
    <t>The settlement is dominated by a single race: a pleasant halfling farming community, an elven capitol, a collection of half-orc yurts on the open plains, ect.</t>
  </si>
  <si>
    <t>This settlement is designed for the comfort of a mostly gnome or halfling population. Its doors and ceilings are built for the comfort of the smaller races, and can be absolute murder on the foreheads of taller humanoids. Everything in the settlement, from furniture to forks, is sized for small creatures.</t>
  </si>
  <si>
    <t>The town has a strange and unnatural air, and is a popular place for sorcerers and oracles.</t>
  </si>
  <si>
    <t>The settlement is known for the excellent quality of the animals bred there, from the mundane (horses, mules, cattle, pigs) to the exotic (talking tigers, Pegasai, griffons). People come from far and wide to purchase livestock, draft animals, mounts and animal companions.</t>
  </si>
  <si>
    <t>The entire settlement is under the effects of a permanent desecrate or hallow effect (choose only one) of incredible power. This effect can be suppressed in small areas within the settlement. </t>
  </si>
  <si>
    <t>Quality</t>
  </si>
  <si>
    <t>Gov.</t>
  </si>
  <si>
    <t>Size</t>
  </si>
  <si>
    <t>The ruler is a figure-head for a distant colonial power and may have limited autonomy in running the colony, but ultimately answers to the founding power. Colonies are seen as resources for their founders, not having much political power or influence. The colony’s government is more concerned with making sure trade and taxes paid to the homeland flow efficiently than the welfare of the colony’s inhabitants.</t>
  </si>
  <si>
    <t>No Quality selected.</t>
  </si>
  <si>
    <t>The settlement is ruled by religious codes and omens. Gods or other powerful spiritual beings intervene directly in the settlement’s politics and daily life. Ordinary citizens are possessed by spirits to speak decrees, unmistakable oracles appear or perhaps every citizen has prophetic dreams that tell them what they must do.</t>
  </si>
  <si>
    <t>The people of this settlement have a deep-seated hatred for a specific group or faction. Any such individual who makes their presence known in town is attacked within 1d4 hours. Similarly, residents look upon those who deal with this enemy faction with suspicion, and they must pay 200% the normal price for goods and services and may face mockery, insult, or even violence.</t>
  </si>
  <si>
    <t>Divine indulgence has made this settlement famous (or infamous) for its lax morals. Certain acts that would normally be considered sinful or immoral are not crimes or sins within the settlement, and committing these acts does not violate a paladin or cleric’s moral code, so long as the offense is limited to within the settlement’s borders.</t>
  </si>
  <si>
    <r>
      <t>By local law, any weapon larger than a dagger and all </t>
    </r>
    <r>
      <rPr>
        <i/>
        <sz val="8"/>
        <rFont val="Arial"/>
        <family val="2"/>
      </rPr>
      <t>wands</t>
    </r>
    <r>
      <rPr>
        <sz val="8"/>
        <rFont val="Arial"/>
        <family val="2"/>
      </rPr>
      <t xml:space="preserve"> and rods must either be peacebound or stored with the authorities for the duration of the visit. </t>
    </r>
  </si>
  <si>
    <t>The settlement is built amid the ruins of a more ancient structure. The settlement might be little more than a collection of tents and yurts erected in ruined plazas, or a thriving metropolis whose stones were recycled from long-forgotten temples and fortresses.</t>
  </si>
  <si>
    <t xml:space="preserve">A surplus of a certain community has made for very competitive markets in those kinds of goods. This commodity and items primarily made from it can be purchased for as little as half the normal cost. </t>
  </si>
  <si>
    <t>The settlement’s laws have completely disenfranchised one gender or the other: the oppressed sex has no more legal rights than a pet or a slave, and cannot buy property. While within the settlement, members of the oppressed gender cannot legally make purchases of items and are usually ignored by the settlement’s inhabitants, and may suffer mockery, violence or legal persecution.</t>
  </si>
  <si>
    <t>A magical aura hangs over the settlement. All creatures of the Animal type gain the ability to speak and think while within the settlement’s borders. Animals act as if their INT scores were 6, and gain ability to speak Common; they lose these benefits as soon as they pass the settlement’s borders. There are likely to be few butcher shops within the settlement’s borders .</t>
  </si>
  <si>
    <t>Effect of size, governement &amp; qualities =</t>
  </si>
  <si>
    <t>The settlement is known for its dramatic, sweeping architecture, monumental statuary and is built to a scale alien to most Medium size humanoids. Perhaps the settlement was once a domain of giants, or simply a human metropolis hewn to an epic scale for the sake of grandeur.</t>
  </si>
  <si>
    <t>The settlement is ruled by its patron faith: secular and theological power are one and the same here. Priests, clerics and oracles decide every facet of life in the settlement.Double the modifiers for the settlement’s alignment. The settlement gains any one of the following qualities as a ‘bonus’ quality: desecrate/hallow, Holy Site, Pious, Racial Enclave, Racially Intolerant, Unholy Site.</t>
  </si>
  <si>
    <t>population</t>
  </si>
  <si>
    <t>Revenue</t>
  </si>
  <si>
    <t>Expenses and Profit</t>
  </si>
  <si>
    <t>Settlement generator</t>
  </si>
  <si>
    <t>Tithe from craftsmen (earning 650 gp/year).</t>
  </si>
  <si>
    <t>equivalent of ==&gt;</t>
  </si>
  <si>
    <t>households assuming</t>
  </si>
  <si>
    <t>Land allocation</t>
  </si>
  <si>
    <t>Personal Demesne lands</t>
  </si>
  <si>
    <t># Servitors recommended</t>
  </si>
  <si>
    <t>#Captainsrecommended</t>
  </si>
  <si>
    <t>#Lieutenants recommended</t>
  </si>
  <si>
    <t>#Sergeants recommended</t>
  </si>
  <si>
    <t>#Regulars recommended</t>
  </si>
  <si>
    <t>Infrastructure</t>
  </si>
  <si>
    <t>Industrial buildings</t>
  </si>
  <si>
    <t>Storage Warehouses</t>
  </si>
  <si>
    <t>Service &amp; Guild buildings</t>
  </si>
  <si>
    <t>Mail rider &amp; traveller stops</t>
  </si>
  <si>
    <t>Total  bldgs =</t>
  </si>
  <si>
    <t># of Residences &amp; Shops =</t>
  </si>
  <si>
    <t>Settlement urban core</t>
  </si>
  <si>
    <t xml:space="preserve">Settlement rural area </t>
  </si>
  <si>
    <t>Structure size (acres)</t>
  </si>
  <si>
    <t>Total # of structures</t>
  </si>
  <si>
    <t>% by # of Able-bodied</t>
  </si>
  <si>
    <t>Mines / Quarries / Resource crops</t>
  </si>
  <si>
    <t>Within the Urban Core</t>
  </si>
  <si>
    <t>In the Rural areas</t>
  </si>
  <si>
    <t># of Bldgs</t>
  </si>
  <si>
    <t>Market districts, squares, etc.</t>
  </si>
  <si>
    <t>Parks within the urban core</t>
  </si>
  <si>
    <t>Roads / Bridges within the urban core</t>
  </si>
  <si>
    <t>Enclosed cemeteries/Tombs within the core</t>
  </si>
  <si>
    <t>Clergy -- Temple</t>
  </si>
  <si>
    <t>Mages -- College / Tower</t>
  </si>
  <si>
    <t>Rel Astra &amp; Solnor compact</t>
  </si>
  <si>
    <t>Lortmils</t>
  </si>
  <si>
    <t>Miscellaneous forests (humans &amp; demi)</t>
  </si>
  <si>
    <t>Miscellaneous hills (humans &amp; demi)</t>
  </si>
  <si>
    <t>Miscellaneous mountains (humans &amp; demi)</t>
  </si>
  <si>
    <t>Iron hills</t>
  </si>
  <si>
    <t>Lorridges</t>
  </si>
  <si>
    <t>Hestmark highlands</t>
  </si>
  <si>
    <t>Good hills</t>
  </si>
  <si>
    <t>Banner hills</t>
  </si>
  <si>
    <t>Cairn hills</t>
  </si>
  <si>
    <t>Headlands</t>
  </si>
  <si>
    <t>Hollow highlands</t>
  </si>
  <si>
    <t>Barrier peaks</t>
  </si>
  <si>
    <t>Clatspur range</t>
  </si>
  <si>
    <t>Crystalmist mountains</t>
  </si>
  <si>
    <t>Glorioles</t>
  </si>
  <si>
    <t>Griff mountains</t>
  </si>
  <si>
    <t>Hellfurnaces</t>
  </si>
  <si>
    <t>Jotens</t>
  </si>
  <si>
    <t>Rakers</t>
  </si>
  <si>
    <t>Sulhaut mountains</t>
  </si>
  <si>
    <t>Yatil</t>
  </si>
  <si>
    <t>Greyhawk domain</t>
  </si>
  <si>
    <t>Pomarj, empire of</t>
  </si>
  <si>
    <t>Iuz, empire of</t>
  </si>
  <si>
    <t>Rural (Hamlets, Farmsteads, etc)</t>
  </si>
  <si>
    <t>Total population in rural areas</t>
  </si>
  <si>
    <t>Maximum age is 450 years old</t>
  </si>
  <si>
    <t>All alive</t>
  </si>
  <si>
    <t>Number of elderly (250+ years)</t>
  </si>
  <si>
    <t>Number of adults (40-250 years)</t>
  </si>
  <si>
    <t>Number of kids (&lt;40 years)</t>
  </si>
  <si>
    <t>Maximum age is 1400 years old</t>
  </si>
  <si>
    <t>Number of elderly (1000+ years)</t>
  </si>
  <si>
    <t>Number of adults (50-1000 years)</t>
  </si>
  <si>
    <t>Maximum age is 750 years old</t>
  </si>
  <si>
    <t>Number of elderly (450+ years)</t>
  </si>
  <si>
    <t>Number of adults (50-450 years)</t>
  </si>
  <si>
    <t>Have on average 5 kids (4.25 survive to adulthood) by the age of 80 years old (60 years old mid-point of breeding period).</t>
  </si>
  <si>
    <t>Have on average 5 kids (4 survive to adulthood) by the age of 55 years old (40 years old mid-point of breeding period).</t>
  </si>
  <si>
    <t>Have on average 5 kids (2.8 survive to adulthood) by the age of 20 years old (14 years old mid-point of breeding period).</t>
  </si>
  <si>
    <t>Have on average 8 kids (8 survive to adulthood) by the age of 150 years old (100 years old mid-point of breeding period).</t>
  </si>
  <si>
    <t>Have on average 4 kids (3.6 survive to adulthood) by the age of 55 years old (40 years old mid-point of breeding period).</t>
  </si>
  <si>
    <t>Have on average 5 kids (3.25 survive to adulthood) by the age of 30 years old (24 years old mid-point of breeding period).</t>
  </si>
  <si>
    <t>Fisher's formula</t>
  </si>
  <si>
    <t>New females per existing female</t>
  </si>
  <si>
    <t>Generation time</t>
  </si>
  <si>
    <t>Population growth</t>
  </si>
  <si>
    <t>Population after 200 years</t>
  </si>
  <si>
    <t>Population after 360 years</t>
  </si>
  <si>
    <t>total =</t>
  </si>
  <si>
    <t>Suel</t>
  </si>
  <si>
    <t>Oeridian</t>
  </si>
  <si>
    <t>Bakluni</t>
  </si>
  <si>
    <t>Flan</t>
  </si>
  <si>
    <t>Human Tot</t>
  </si>
  <si>
    <t xml:space="preserve">Fighters, soldiers, watchmen -- Barracks </t>
  </si>
  <si>
    <t>% of population in urban areas =</t>
  </si>
  <si>
    <t>Race (Small Town % of the Able-bodied)</t>
  </si>
  <si>
    <t>Hunters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</si>
</sst>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
    <numFmt numFmtId="174" formatCode="0.0000%"/>
    <numFmt numFmtId="175" formatCode="0.0%"/>
    <numFmt numFmtId="176" formatCode="0.0"/>
    <numFmt numFmtId="177" formatCode="General\ \c\p"/>
    <numFmt numFmtId="178" formatCode="#,##0\ \c\p"/>
    <numFmt numFmtId="179" formatCode="0.00000%"/>
    <numFmt numFmtId="180" formatCode="0\ &quot;households&quot;"/>
    <numFmt numFmtId="181" formatCode="#,##0\ &quot;acres&quot;"/>
    <numFmt numFmtId="182" formatCode="General\ &quot;weeks&quot;"/>
    <numFmt numFmtId="183" formatCode="0%\ &quot;farming households =&gt;&quot;"/>
    <numFmt numFmtId="184" formatCode="0%\ &quot;non-farming households =&gt;&quot;"/>
    <numFmt numFmtId="185" formatCode="#,##0.0\ &quot;km diameter circle&quot;"/>
    <numFmt numFmtId="186" formatCode="#,##0\ &quot;km2 total area&quot;"/>
    <numFmt numFmtId="187" formatCode="0.0\ &quot;gp&quot;"/>
    <numFmt numFmtId="188" formatCode="#,##0\ &quot;gp&quot;"/>
    <numFmt numFmtId="189" formatCode="#,##0\ &quot;CP&quot;"/>
    <numFmt numFmtId="190" formatCode="0.0\ &quot;people per acre&quot;"/>
    <numFmt numFmtId="191" formatCode="0\ &quot;acres per person&quot;"/>
    <numFmt numFmtId="192" formatCode="0\ &quot;people per household&quot;"/>
    <numFmt numFmtId="193" formatCode="&quot;Yes&quot;;&quot;Yes&quot;;&quot;No&quot;"/>
    <numFmt numFmtId="194" formatCode="&quot;True&quot;;&quot;True&quot;;&quot;False&quot;"/>
    <numFmt numFmtId="195" formatCode="&quot;On&quot;;&quot;On&quot;;&quot;Off&quot;"/>
    <numFmt numFmtId="196" formatCode="[$€-2]\ #,##0.00_);[Red]\([$€-2]\ #,##0.00\)"/>
    <numFmt numFmtId="197" formatCode="&quot;other =&quot;\ 0"/>
  </numFmts>
  <fonts count="90">
    <font>
      <sz val="10"/>
      <name val="Arial"/>
      <family val="0"/>
    </font>
    <font>
      <b/>
      <sz val="12"/>
      <name val="Arial"/>
      <family val="2"/>
    </font>
    <font>
      <sz val="10"/>
      <color indexed="10"/>
      <name val="Arial"/>
      <family val="2"/>
    </font>
    <font>
      <b/>
      <sz val="10"/>
      <name val="Arial"/>
      <family val="2"/>
    </font>
    <font>
      <b/>
      <sz val="8"/>
      <name val="Arial"/>
      <family val="2"/>
    </font>
    <font>
      <sz val="8"/>
      <name val="Arial"/>
      <family val="2"/>
    </font>
    <font>
      <sz val="8"/>
      <color indexed="10"/>
      <name val="Arial"/>
      <family val="2"/>
    </font>
    <font>
      <b/>
      <u val="single"/>
      <sz val="10"/>
      <name val="Arial"/>
      <family val="2"/>
    </font>
    <font>
      <b/>
      <sz val="16"/>
      <name val="Arial"/>
      <family val="2"/>
    </font>
    <font>
      <vertAlign val="superscript"/>
      <sz val="10"/>
      <name val="Arial"/>
      <family val="2"/>
    </font>
    <font>
      <b/>
      <sz val="8"/>
      <name val="Tahoma"/>
      <family val="2"/>
    </font>
    <font>
      <sz val="8"/>
      <name val="Tahoma"/>
      <family val="2"/>
    </font>
    <font>
      <b/>
      <sz val="11"/>
      <name val="Arial"/>
      <family val="2"/>
    </font>
    <font>
      <sz val="9"/>
      <name val="Tahoma"/>
      <family val="2"/>
    </font>
    <font>
      <b/>
      <sz val="9"/>
      <name val="Tahoma"/>
      <family val="2"/>
    </font>
    <font>
      <sz val="14"/>
      <name val="Arial"/>
      <family val="2"/>
    </font>
    <font>
      <b/>
      <u val="single"/>
      <sz val="12"/>
      <color indexed="10"/>
      <name val="Arial"/>
      <family val="2"/>
    </font>
    <font>
      <sz val="9"/>
      <name val="Arial"/>
      <family val="2"/>
    </font>
    <font>
      <sz val="12"/>
      <name val="Arial"/>
      <family val="2"/>
    </font>
    <font>
      <b/>
      <vertAlign val="superscript"/>
      <sz val="10"/>
      <name val="Arial"/>
      <family val="2"/>
    </font>
    <font>
      <b/>
      <sz val="9"/>
      <name val="Arial"/>
      <family val="2"/>
    </font>
    <font>
      <b/>
      <sz val="14"/>
      <name val="Arial"/>
      <family val="2"/>
    </font>
    <font>
      <sz val="9"/>
      <color indexed="10"/>
      <name val="Arial"/>
      <family val="2"/>
    </font>
    <font>
      <i/>
      <sz val="8"/>
      <name val="Arial"/>
      <family val="2"/>
    </font>
    <font>
      <sz val="7"/>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b/>
      <sz val="12"/>
      <color indexed="10"/>
      <name val="Arial"/>
      <family val="2"/>
    </font>
    <font>
      <sz val="10"/>
      <color indexed="40"/>
      <name val="Arial"/>
      <family val="2"/>
    </font>
    <font>
      <b/>
      <sz val="10"/>
      <color indexed="10"/>
      <name val="Arial"/>
      <family val="2"/>
    </font>
    <font>
      <b/>
      <sz val="10"/>
      <color indexed="60"/>
      <name val="Arial"/>
      <family val="2"/>
    </font>
    <font>
      <sz val="12"/>
      <color indexed="30"/>
      <name val="Arial"/>
      <family val="2"/>
    </font>
    <font>
      <sz val="12"/>
      <color indexed="60"/>
      <name val="Arial"/>
      <family val="2"/>
    </font>
    <font>
      <sz val="9"/>
      <color indexed="30"/>
      <name val="Arial"/>
      <family val="2"/>
    </font>
    <font>
      <b/>
      <sz val="12"/>
      <color indexed="63"/>
      <name val="Arial"/>
      <family val="2"/>
    </font>
    <font>
      <b/>
      <sz val="14"/>
      <color indexed="16"/>
      <name val="Arial"/>
      <family val="2"/>
    </font>
    <font>
      <b/>
      <sz val="18"/>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70C0"/>
      <name val="Arial"/>
      <family val="2"/>
    </font>
    <font>
      <b/>
      <sz val="12"/>
      <color rgb="FFFF0000"/>
      <name val="Arial"/>
      <family val="2"/>
    </font>
    <font>
      <sz val="10"/>
      <color rgb="FF00B0F0"/>
      <name val="Arial"/>
      <family val="2"/>
    </font>
    <font>
      <b/>
      <sz val="10"/>
      <color rgb="FFFF0000"/>
      <name val="Arial"/>
      <family val="2"/>
    </font>
    <font>
      <b/>
      <sz val="10"/>
      <color theme="9" tint="-0.4999699890613556"/>
      <name val="Arial"/>
      <family val="2"/>
    </font>
    <font>
      <sz val="12"/>
      <color rgb="FF0070C0"/>
      <name val="Arial"/>
      <family val="2"/>
    </font>
    <font>
      <sz val="12"/>
      <color theme="5" tint="-0.24997000396251678"/>
      <name val="Arial"/>
      <family val="2"/>
    </font>
    <font>
      <sz val="9"/>
      <color rgb="FF0070C0"/>
      <name val="Arial"/>
      <family val="2"/>
    </font>
    <font>
      <b/>
      <sz val="12"/>
      <color rgb="FF333333"/>
      <name val="Arial"/>
      <family val="2"/>
    </font>
    <font>
      <b/>
      <sz val="14"/>
      <color theme="5" tint="-0.4999699890613556"/>
      <name val="Arial"/>
      <family val="2"/>
    </font>
    <font>
      <sz val="8"/>
      <color rgb="FFFF0000"/>
      <name val="Arial"/>
      <family val="2"/>
    </font>
    <font>
      <b/>
      <sz val="18"/>
      <color rgb="FFFF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double"/>
      <bottom style="mediu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medium"/>
    </border>
    <border>
      <left style="double"/>
      <right style="hair"/>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color indexed="63"/>
      </right>
      <top style="medium"/>
      <bottom style="double"/>
    </border>
    <border>
      <left style="thin"/>
      <right>
        <color indexed="63"/>
      </right>
      <top style="thin"/>
      <bottom style="thin"/>
    </border>
    <border>
      <left style="dashDotDot"/>
      <right style="dashDotDot"/>
      <top>
        <color indexed="63"/>
      </top>
      <bottom style="double"/>
    </border>
    <border>
      <left style="dashDotDot"/>
      <right style="dashDotDot"/>
      <top>
        <color indexed="63"/>
      </top>
      <bottom style="hair"/>
    </border>
    <border>
      <left style="dashDotDot"/>
      <right style="dashDotDot"/>
      <top style="hair"/>
      <bottom style="hair"/>
    </border>
    <border>
      <left style="mediumDashDotDot"/>
      <right style="dashDotDot"/>
      <top>
        <color indexed="63"/>
      </top>
      <bottom style="double"/>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mediumDashDotDot"/>
      <right style="dashDotDot"/>
      <top style="double"/>
      <bottom style="hair"/>
    </border>
    <border>
      <left style="mediumDashDotDot"/>
      <right style="dashDotDot"/>
      <top style="hair"/>
      <bottom style="hair"/>
    </border>
    <border>
      <left style="mediumDashDotDot"/>
      <right style="dashDotDot"/>
      <top style="hair"/>
      <bottom style="thin"/>
    </border>
    <border>
      <left style="dashDotDot"/>
      <right style="dashDotDot"/>
      <top style="hair"/>
      <bottom style="thin"/>
    </border>
    <border>
      <left>
        <color indexed="63"/>
      </left>
      <right style="double"/>
      <top style="medium"/>
      <bottom>
        <color indexed="63"/>
      </bottom>
    </border>
    <border>
      <left>
        <color indexed="63"/>
      </left>
      <right style="double"/>
      <top>
        <color indexed="63"/>
      </top>
      <bottom style="medium"/>
    </border>
    <border>
      <left style="dashDotDot"/>
      <right style="double"/>
      <top>
        <color indexed="63"/>
      </top>
      <bottom style="double"/>
    </border>
    <border>
      <left style="double"/>
      <right>
        <color indexed="63"/>
      </right>
      <top style="thin"/>
      <bottom>
        <color indexed="63"/>
      </bottom>
    </border>
    <border>
      <left style="dashDotDot"/>
      <right style="double"/>
      <top>
        <color indexed="63"/>
      </top>
      <bottom style="hair"/>
    </border>
    <border>
      <left style="dashDotDot"/>
      <right style="double"/>
      <top style="hair"/>
      <bottom style="hair"/>
    </border>
    <border>
      <left style="double"/>
      <right>
        <color indexed="63"/>
      </right>
      <top>
        <color indexed="63"/>
      </top>
      <bottom style="thin"/>
    </border>
    <border>
      <left style="dashDotDot"/>
      <right style="double"/>
      <top style="hair"/>
      <bottom style="thin"/>
    </border>
    <border>
      <left>
        <color indexed="63"/>
      </left>
      <right style="double"/>
      <top style="medium"/>
      <bottom style="double"/>
    </border>
    <border>
      <left>
        <color indexed="63"/>
      </left>
      <right style="double"/>
      <top style="hair"/>
      <bottom>
        <color indexed="63"/>
      </bottom>
    </border>
    <border>
      <left>
        <color indexed="63"/>
      </left>
      <right style="double"/>
      <top style="double"/>
      <bottom style="medium"/>
    </border>
    <border>
      <left>
        <color indexed="63"/>
      </left>
      <right style="double"/>
      <top>
        <color indexed="63"/>
      </top>
      <bottom style="hair"/>
    </border>
    <border>
      <left>
        <color indexed="63"/>
      </left>
      <right style="double"/>
      <top style="medium"/>
      <bottom style="medium"/>
    </border>
    <border>
      <left>
        <color indexed="63"/>
      </left>
      <right>
        <color indexed="63"/>
      </right>
      <top style="thin"/>
      <bottom style="double"/>
    </border>
    <border>
      <left>
        <color indexed="63"/>
      </left>
      <right style="thin"/>
      <top style="thin"/>
      <bottom style="double"/>
    </border>
    <border>
      <left style="double"/>
      <right>
        <color indexed="63"/>
      </right>
      <top style="hair"/>
      <bottom style="hair"/>
    </border>
    <border>
      <left style="double"/>
      <right>
        <color indexed="63"/>
      </right>
      <top style="hair"/>
      <bottom>
        <color indexed="63"/>
      </bottom>
    </border>
    <border>
      <left style="double"/>
      <right>
        <color indexed="63"/>
      </right>
      <top style="medium"/>
      <bottom style="medium"/>
    </border>
    <border>
      <left style="double"/>
      <right>
        <color indexed="63"/>
      </right>
      <top style="double"/>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hair"/>
      <bottom style="hair"/>
    </border>
    <border>
      <left>
        <color indexed="63"/>
      </left>
      <right style="double"/>
      <top style="hair"/>
      <bottom style="hair"/>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7"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5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13"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 fillId="0" borderId="14" xfId="0" applyFont="1" applyBorder="1" applyAlignment="1">
      <alignment/>
    </xf>
    <xf numFmtId="0" fontId="5" fillId="0" borderId="0" xfId="0" applyFont="1" applyAlignment="1">
      <alignment/>
    </xf>
    <xf numFmtId="0" fontId="5" fillId="0" borderId="16" xfId="0" applyFont="1" applyBorder="1" applyAlignment="1">
      <alignment/>
    </xf>
    <xf numFmtId="0" fontId="5" fillId="0" borderId="19" xfId="0" applyFont="1" applyBorder="1" applyAlignment="1">
      <alignment/>
    </xf>
    <xf numFmtId="0" fontId="3" fillId="0" borderId="20" xfId="0" applyFont="1" applyBorder="1" applyAlignment="1">
      <alignment/>
    </xf>
    <xf numFmtId="0" fontId="0" fillId="0" borderId="11" xfId="0" applyFont="1" applyBorder="1" applyAlignment="1">
      <alignment/>
    </xf>
    <xf numFmtId="0" fontId="0" fillId="0" borderId="0" xfId="0" applyAlignment="1">
      <alignment horizontal="center"/>
    </xf>
    <xf numFmtId="0" fontId="7" fillId="0" borderId="11"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11" xfId="0" applyFont="1" applyBorder="1" applyAlignment="1">
      <alignment horizontal="center"/>
    </xf>
    <xf numFmtId="172" fontId="2" fillId="0" borderId="11" xfId="0" applyNumberFormat="1" applyFont="1" applyBorder="1" applyAlignment="1">
      <alignment horizontal="center"/>
    </xf>
    <xf numFmtId="172" fontId="2" fillId="0" borderId="0" xfId="0" applyNumberFormat="1" applyFont="1" applyAlignment="1">
      <alignment horizontal="center"/>
    </xf>
    <xf numFmtId="10" fontId="2" fillId="0" borderId="0" xfId="0" applyNumberFormat="1" applyFont="1" applyAlignment="1">
      <alignment horizontal="center"/>
    </xf>
    <xf numFmtId="0" fontId="2" fillId="0" borderId="0" xfId="0" applyFont="1" applyAlignment="1">
      <alignment horizontal="center"/>
    </xf>
    <xf numFmtId="0" fontId="0" fillId="0" borderId="11" xfId="0" applyBorder="1" applyAlignment="1">
      <alignment horizontal="center"/>
    </xf>
    <xf numFmtId="0" fontId="0" fillId="0" borderId="10" xfId="0" applyBorder="1" applyAlignment="1">
      <alignment horizontal="center"/>
    </xf>
    <xf numFmtId="10" fontId="2" fillId="0" borderId="10" xfId="0" applyNumberFormat="1" applyFont="1" applyBorder="1" applyAlignment="1">
      <alignment horizontal="center"/>
    </xf>
    <xf numFmtId="1" fontId="2" fillId="0" borderId="0" xfId="0" applyNumberFormat="1" applyFont="1" applyAlignment="1">
      <alignment horizontal="center"/>
    </xf>
    <xf numFmtId="0" fontId="3" fillId="0" borderId="13" xfId="0" applyFont="1" applyBorder="1" applyAlignment="1">
      <alignment/>
    </xf>
    <xf numFmtId="0" fontId="0" fillId="0" borderId="21" xfId="0" applyBorder="1" applyAlignment="1">
      <alignment/>
    </xf>
    <xf numFmtId="0" fontId="4" fillId="0" borderId="21" xfId="0" applyFont="1" applyBorder="1" applyAlignment="1">
      <alignment horizontal="center"/>
    </xf>
    <xf numFmtId="0" fontId="0" fillId="0" borderId="22" xfId="0" applyBorder="1" applyAlignment="1">
      <alignment/>
    </xf>
    <xf numFmtId="10" fontId="0" fillId="0" borderId="0" xfId="0" applyNumberFormat="1" applyAlignment="1">
      <alignment/>
    </xf>
    <xf numFmtId="0" fontId="8" fillId="0" borderId="0" xfId="0" applyFont="1" applyAlignment="1">
      <alignment/>
    </xf>
    <xf numFmtId="0" fontId="0" fillId="0" borderId="0" xfId="0" applyFont="1" applyAlignment="1">
      <alignment/>
    </xf>
    <xf numFmtId="0" fontId="0" fillId="0" borderId="20" xfId="0" applyBorder="1" applyAlignment="1">
      <alignment/>
    </xf>
    <xf numFmtId="0" fontId="0" fillId="0" borderId="23" xfId="0" applyFont="1" applyBorder="1" applyAlignment="1">
      <alignment/>
    </xf>
    <xf numFmtId="0" fontId="3" fillId="0" borderId="10" xfId="0" applyFont="1" applyBorder="1" applyAlignment="1">
      <alignment horizontal="center"/>
    </xf>
    <xf numFmtId="0" fontId="3" fillId="0" borderId="24" xfId="0" applyFont="1" applyBorder="1" applyAlignment="1">
      <alignment horizontal="center"/>
    </xf>
    <xf numFmtId="175" fontId="5" fillId="0" borderId="0" xfId="0" applyNumberFormat="1" applyFont="1" applyAlignment="1">
      <alignment horizontal="center"/>
    </xf>
    <xf numFmtId="0" fontId="0" fillId="0" borderId="25" xfId="0" applyBorder="1" applyAlignment="1">
      <alignment horizontal="center"/>
    </xf>
    <xf numFmtId="0" fontId="0" fillId="0" borderId="0" xfId="0" applyFont="1" applyAlignment="1">
      <alignment horizontal="center"/>
    </xf>
    <xf numFmtId="1" fontId="0" fillId="0" borderId="0" xfId="0" applyNumberFormat="1" applyAlignment="1">
      <alignment/>
    </xf>
    <xf numFmtId="175" fontId="0" fillId="0" borderId="0" xfId="0" applyNumberFormat="1" applyAlignment="1">
      <alignment/>
    </xf>
    <xf numFmtId="3" fontId="0" fillId="0" borderId="0" xfId="0" applyNumberFormat="1" applyAlignment="1">
      <alignment/>
    </xf>
    <xf numFmtId="2" fontId="0" fillId="0" borderId="0" xfId="0" applyNumberFormat="1" applyAlignment="1">
      <alignment/>
    </xf>
    <xf numFmtId="2" fontId="0" fillId="0" borderId="21" xfId="0" applyNumberFormat="1" applyBorder="1" applyAlignment="1">
      <alignment/>
    </xf>
    <xf numFmtId="9" fontId="0" fillId="0" borderId="25" xfId="0" applyNumberFormat="1" applyBorder="1" applyAlignment="1">
      <alignment/>
    </xf>
    <xf numFmtId="9" fontId="0" fillId="0" borderId="26" xfId="0" applyNumberFormat="1" applyBorder="1" applyAlignment="1">
      <alignment/>
    </xf>
    <xf numFmtId="0" fontId="0" fillId="0" borderId="0" xfId="0" applyFont="1" applyAlignment="1">
      <alignment horizontal="right"/>
    </xf>
    <xf numFmtId="9" fontId="0" fillId="0" borderId="0" xfId="0" applyNumberFormat="1" applyAlignment="1">
      <alignment/>
    </xf>
    <xf numFmtId="1" fontId="0" fillId="0" borderId="15" xfId="0" applyNumberFormat="1" applyBorder="1" applyAlignment="1">
      <alignment/>
    </xf>
    <xf numFmtId="1" fontId="0" fillId="0" borderId="16" xfId="0" applyNumberFormat="1" applyBorder="1" applyAlignment="1">
      <alignment/>
    </xf>
    <xf numFmtId="1" fontId="0" fillId="0" borderId="18" xfId="0" applyNumberFormat="1" applyBorder="1" applyAlignment="1">
      <alignment/>
    </xf>
    <xf numFmtId="1" fontId="0" fillId="0" borderId="17" xfId="0" applyNumberFormat="1" applyBorder="1" applyAlignment="1">
      <alignment/>
    </xf>
    <xf numFmtId="1" fontId="0" fillId="0" borderId="19" xfId="0" applyNumberFormat="1" applyBorder="1" applyAlignment="1">
      <alignment/>
    </xf>
    <xf numFmtId="0" fontId="0" fillId="0" borderId="14" xfId="0" applyBorder="1" applyAlignment="1">
      <alignment/>
    </xf>
    <xf numFmtId="0" fontId="7" fillId="0" borderId="0" xfId="0" applyFont="1" applyAlignment="1">
      <alignment horizontal="center"/>
    </xf>
    <xf numFmtId="0" fontId="0" fillId="0" borderId="23" xfId="0" applyBorder="1" applyAlignment="1">
      <alignment/>
    </xf>
    <xf numFmtId="0" fontId="3" fillId="0" borderId="0" xfId="0" applyFont="1" applyAlignment="1">
      <alignment horizontal="right"/>
    </xf>
    <xf numFmtId="0" fontId="16" fillId="0" borderId="0" xfId="0" applyFont="1" applyAlignment="1">
      <alignment/>
    </xf>
    <xf numFmtId="0" fontId="7" fillId="0" borderId="0" xfId="0" applyFont="1" applyAlignment="1">
      <alignment/>
    </xf>
    <xf numFmtId="177" fontId="0" fillId="0" borderId="0" xfId="0" applyNumberFormat="1" applyAlignment="1">
      <alignment horizontal="center"/>
    </xf>
    <xf numFmtId="0" fontId="76" fillId="0" borderId="0" xfId="0" applyFont="1" applyAlignment="1">
      <alignment/>
    </xf>
    <xf numFmtId="3" fontId="76" fillId="0" borderId="0" xfId="0" applyNumberFormat="1" applyFont="1" applyAlignment="1">
      <alignment/>
    </xf>
    <xf numFmtId="0" fontId="76" fillId="0" borderId="0" xfId="0" applyFont="1" applyAlignment="1">
      <alignment/>
    </xf>
    <xf numFmtId="0" fontId="0" fillId="0" borderId="0" xfId="0" applyFont="1" applyAlignment="1" quotePrefix="1">
      <alignment horizontal="right"/>
    </xf>
    <xf numFmtId="1" fontId="0" fillId="0" borderId="0" xfId="0" applyNumberFormat="1" applyFont="1" applyAlignment="1">
      <alignment horizontal="center"/>
    </xf>
    <xf numFmtId="1" fontId="0" fillId="0" borderId="0" xfId="0" applyNumberFormat="1" applyFont="1" applyAlignment="1">
      <alignment horizontal="right"/>
    </xf>
    <xf numFmtId="0" fontId="76" fillId="0" borderId="0" xfId="0" applyFont="1" applyAlignment="1">
      <alignment horizontal="center"/>
    </xf>
    <xf numFmtId="178" fontId="76" fillId="0" borderId="0" xfId="0" applyNumberFormat="1" applyFont="1" applyAlignment="1">
      <alignment/>
    </xf>
    <xf numFmtId="3" fontId="76" fillId="0" borderId="0" xfId="0" applyNumberFormat="1" applyFont="1" applyAlignment="1">
      <alignment horizontal="center"/>
    </xf>
    <xf numFmtId="1" fontId="76" fillId="0" borderId="0" xfId="0" applyNumberFormat="1" applyFont="1" applyAlignment="1">
      <alignment horizontal="center"/>
    </xf>
    <xf numFmtId="0" fontId="0" fillId="0" borderId="15" xfId="0" applyFont="1" applyBorder="1" applyAlignment="1">
      <alignment/>
    </xf>
    <xf numFmtId="0" fontId="0" fillId="0" borderId="18" xfId="0" applyFont="1" applyBorder="1" applyAlignment="1">
      <alignment/>
    </xf>
    <xf numFmtId="0" fontId="77" fillId="0" borderId="0" xfId="0" applyFont="1" applyAlignment="1">
      <alignment/>
    </xf>
    <xf numFmtId="10" fontId="3" fillId="0" borderId="22" xfId="0" applyNumberFormat="1" applyFont="1" applyBorder="1" applyAlignment="1">
      <alignment horizontal="center"/>
    </xf>
    <xf numFmtId="0" fontId="3" fillId="0" borderId="10" xfId="0" applyFont="1" applyBorder="1" applyAlignment="1">
      <alignment/>
    </xf>
    <xf numFmtId="175" fontId="5" fillId="0" borderId="25" xfId="0" applyNumberFormat="1" applyFont="1" applyBorder="1" applyAlignment="1">
      <alignment horizontal="center"/>
    </xf>
    <xf numFmtId="175" fontId="5" fillId="0" borderId="21" xfId="0" applyNumberFormat="1" applyFont="1" applyBorder="1" applyAlignment="1">
      <alignment horizontal="center"/>
    </xf>
    <xf numFmtId="175" fontId="5" fillId="0" borderId="26" xfId="0" applyNumberFormat="1" applyFont="1" applyBorder="1" applyAlignment="1">
      <alignment horizontal="center"/>
    </xf>
    <xf numFmtId="9" fontId="5" fillId="0" borderId="0" xfId="0" applyNumberFormat="1" applyFont="1" applyAlignment="1">
      <alignment horizontal="center"/>
    </xf>
    <xf numFmtId="9" fontId="5" fillId="0" borderId="25" xfId="0" applyNumberFormat="1" applyFont="1" applyBorder="1" applyAlignment="1">
      <alignment horizontal="center"/>
    </xf>
    <xf numFmtId="9" fontId="5" fillId="0" borderId="21" xfId="0" applyNumberFormat="1" applyFont="1" applyBorder="1" applyAlignment="1">
      <alignment horizontal="center"/>
    </xf>
    <xf numFmtId="9" fontId="5" fillId="0" borderId="26" xfId="0" applyNumberFormat="1" applyFont="1" applyBorder="1" applyAlignment="1">
      <alignment horizontal="center"/>
    </xf>
    <xf numFmtId="175" fontId="0" fillId="0" borderId="16" xfId="0" applyNumberFormat="1" applyBorder="1" applyAlignment="1">
      <alignment/>
    </xf>
    <xf numFmtId="175" fontId="0" fillId="0" borderId="19" xfId="0" applyNumberFormat="1" applyBorder="1" applyAlignment="1">
      <alignment/>
    </xf>
    <xf numFmtId="0" fontId="3" fillId="0" borderId="20"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1" xfId="0" applyFont="1" applyBorder="1" applyAlignment="1">
      <alignment horizontal="justify" vertical="center" wrapText="1"/>
    </xf>
    <xf numFmtId="9" fontId="0" fillId="0" borderId="0" xfId="0" applyNumberFormat="1" applyFont="1" applyAlignment="1">
      <alignment horizontal="center" vertical="center" wrapText="1"/>
    </xf>
    <xf numFmtId="9" fontId="0" fillId="0" borderId="25" xfId="0" applyNumberFormat="1" applyFont="1" applyBorder="1" applyAlignment="1">
      <alignment horizontal="center" vertical="center" wrapText="1"/>
    </xf>
    <xf numFmtId="0" fontId="0" fillId="0" borderId="23" xfId="0" applyFont="1" applyBorder="1" applyAlignment="1">
      <alignment horizontal="justify" vertical="center" wrapText="1"/>
    </xf>
    <xf numFmtId="9" fontId="0" fillId="0" borderId="21"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9" fontId="0" fillId="0" borderId="21" xfId="0" applyNumberFormat="1" applyBorder="1" applyAlignment="1">
      <alignment horizontal="center"/>
    </xf>
    <xf numFmtId="1" fontId="0" fillId="0" borderId="21" xfId="0" applyNumberFormat="1" applyBorder="1" applyAlignment="1">
      <alignment horizontal="center"/>
    </xf>
    <xf numFmtId="176" fontId="0" fillId="0" borderId="21" xfId="0" applyNumberFormat="1" applyBorder="1" applyAlignment="1">
      <alignment horizontal="center"/>
    </xf>
    <xf numFmtId="175" fontId="3" fillId="0" borderId="22" xfId="0" applyNumberFormat="1" applyFont="1" applyBorder="1" applyAlignment="1">
      <alignment horizontal="center"/>
    </xf>
    <xf numFmtId="173" fontId="3" fillId="0" borderId="22" xfId="0" applyNumberFormat="1" applyFont="1" applyBorder="1" applyAlignment="1">
      <alignment horizontal="center"/>
    </xf>
    <xf numFmtId="10" fontId="77" fillId="0" borderId="0" xfId="0" applyNumberFormat="1" applyFont="1" applyAlignment="1">
      <alignment horizontal="left"/>
    </xf>
    <xf numFmtId="0" fontId="0" fillId="0" borderId="18" xfId="0" applyFont="1" applyFill="1" applyBorder="1" applyAlignment="1">
      <alignment/>
    </xf>
    <xf numFmtId="188" fontId="76" fillId="0" borderId="0" xfId="0" applyNumberFormat="1" applyFont="1" applyAlignment="1">
      <alignment/>
    </xf>
    <xf numFmtId="188" fontId="0" fillId="0" borderId="0" xfId="0" applyNumberFormat="1" applyFont="1" applyBorder="1" applyAlignment="1">
      <alignment/>
    </xf>
    <xf numFmtId="188" fontId="0" fillId="0" borderId="0" xfId="0" applyNumberFormat="1" applyFont="1" applyAlignment="1">
      <alignment/>
    </xf>
    <xf numFmtId="188" fontId="0" fillId="0" borderId="16" xfId="0" applyNumberFormat="1" applyFont="1" applyBorder="1" applyAlignment="1">
      <alignment/>
    </xf>
    <xf numFmtId="188" fontId="0" fillId="0" borderId="17" xfId="0" applyNumberFormat="1" applyFont="1" applyBorder="1" applyAlignment="1">
      <alignment/>
    </xf>
    <xf numFmtId="188" fontId="0" fillId="0" borderId="19" xfId="0" applyNumberFormat="1" applyFont="1" applyBorder="1" applyAlignment="1">
      <alignment/>
    </xf>
    <xf numFmtId="0" fontId="0" fillId="0" borderId="0" xfId="0" applyFont="1" applyAlignment="1">
      <alignment horizontal="left"/>
    </xf>
    <xf numFmtId="0" fontId="57" fillId="0" borderId="0" xfId="57">
      <alignment/>
      <protection/>
    </xf>
    <xf numFmtId="0" fontId="78" fillId="0" borderId="0" xfId="0" applyFont="1" applyAlignment="1">
      <alignment/>
    </xf>
    <xf numFmtId="0" fontId="57" fillId="0" borderId="0" xfId="57" applyFill="1">
      <alignment/>
      <protection/>
    </xf>
    <xf numFmtId="0" fontId="74" fillId="0" borderId="0" xfId="57" applyFont="1" applyFill="1">
      <alignment/>
      <protection/>
    </xf>
    <xf numFmtId="0" fontId="57" fillId="0" borderId="0" xfId="57" applyFill="1" applyAlignment="1">
      <alignment horizontal="right"/>
      <protection/>
    </xf>
    <xf numFmtId="0" fontId="79" fillId="0" borderId="0" xfId="0" applyFont="1" applyAlignment="1">
      <alignment/>
    </xf>
    <xf numFmtId="0" fontId="4" fillId="0" borderId="0" xfId="0" applyFont="1" applyBorder="1" applyAlignment="1">
      <alignment horizontal="center"/>
    </xf>
    <xf numFmtId="0" fontId="0" fillId="0" borderId="0" xfId="0" applyFont="1" applyBorder="1" applyAlignment="1">
      <alignment/>
    </xf>
    <xf numFmtId="175" fontId="5"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Border="1" applyAlignment="1">
      <alignment/>
    </xf>
    <xf numFmtId="9" fontId="5" fillId="0" borderId="0" xfId="0" applyNumberFormat="1" applyFont="1" applyBorder="1" applyAlignment="1">
      <alignment horizontal="center"/>
    </xf>
    <xf numFmtId="175" fontId="0" fillId="0" borderId="0" xfId="0" applyNumberFormat="1" applyBorder="1" applyAlignment="1">
      <alignment/>
    </xf>
    <xf numFmtId="175" fontId="0" fillId="0" borderId="21" xfId="0" applyNumberFormat="1" applyBorder="1" applyAlignment="1">
      <alignment/>
    </xf>
    <xf numFmtId="179" fontId="0" fillId="0" borderId="21" xfId="0" applyNumberFormat="1" applyBorder="1" applyAlignment="1">
      <alignment/>
    </xf>
    <xf numFmtId="0" fontId="3" fillId="0" borderId="27" xfId="0" applyFont="1" applyBorder="1" applyAlignment="1">
      <alignment horizontal="center"/>
    </xf>
    <xf numFmtId="9" fontId="5" fillId="0" borderId="28" xfId="0" applyNumberFormat="1" applyFont="1" applyBorder="1" applyAlignment="1">
      <alignment horizontal="center"/>
    </xf>
    <xf numFmtId="9" fontId="5" fillId="0" borderId="29" xfId="0" applyNumberFormat="1" applyFont="1" applyBorder="1" applyAlignment="1">
      <alignment horizontal="center"/>
    </xf>
    <xf numFmtId="175" fontId="5" fillId="0" borderId="28" xfId="0" applyNumberFormat="1" applyFont="1" applyBorder="1" applyAlignment="1">
      <alignment horizontal="center"/>
    </xf>
    <xf numFmtId="175" fontId="5" fillId="0" borderId="29" xfId="0" applyNumberFormat="1" applyFont="1" applyBorder="1" applyAlignment="1">
      <alignment horizontal="center"/>
    </xf>
    <xf numFmtId="0" fontId="3" fillId="0" borderId="30" xfId="0" applyFont="1" applyFill="1" applyBorder="1" applyAlignment="1">
      <alignment horizontal="center"/>
    </xf>
    <xf numFmtId="0" fontId="0" fillId="0" borderId="31" xfId="0" applyBorder="1" applyAlignment="1">
      <alignment/>
    </xf>
    <xf numFmtId="0" fontId="0" fillId="0" borderId="32" xfId="0" applyBorder="1" applyAlignment="1">
      <alignment/>
    </xf>
    <xf numFmtId="0" fontId="0" fillId="0" borderId="0" xfId="0" applyBorder="1" applyAlignment="1">
      <alignment horizontal="center"/>
    </xf>
    <xf numFmtId="0" fontId="80" fillId="0" borderId="0" xfId="0" applyFont="1" applyAlignment="1">
      <alignment/>
    </xf>
    <xf numFmtId="0" fontId="1" fillId="0" borderId="33"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76" fontId="0" fillId="0" borderId="0" xfId="0" applyNumberFormat="1" applyBorder="1" applyAlignment="1">
      <alignment horizontal="center"/>
    </xf>
    <xf numFmtId="0" fontId="0" fillId="0" borderId="35" xfId="0" applyFont="1" applyBorder="1" applyAlignment="1">
      <alignment/>
    </xf>
    <xf numFmtId="0" fontId="6" fillId="0" borderId="0" xfId="0" applyFont="1" applyBorder="1" applyAlignment="1">
      <alignment horizontal="left"/>
    </xf>
    <xf numFmtId="0" fontId="0" fillId="0" borderId="37" xfId="0" applyBorder="1" applyAlignment="1">
      <alignment/>
    </xf>
    <xf numFmtId="0" fontId="0" fillId="0" borderId="38" xfId="0" applyBorder="1" applyAlignment="1">
      <alignment/>
    </xf>
    <xf numFmtId="0" fontId="0" fillId="0" borderId="38" xfId="0" applyFont="1" applyBorder="1" applyAlignment="1">
      <alignment/>
    </xf>
    <xf numFmtId="0" fontId="3" fillId="0" borderId="35" xfId="0" applyFont="1" applyFill="1" applyBorder="1" applyAlignment="1" quotePrefix="1">
      <alignment/>
    </xf>
    <xf numFmtId="0" fontId="3" fillId="0" borderId="38" xfId="0" applyFont="1" applyBorder="1" applyAlignment="1">
      <alignment horizontal="right"/>
    </xf>
    <xf numFmtId="173" fontId="5" fillId="0" borderId="0" xfId="0" applyNumberFormat="1" applyFont="1" applyBorder="1" applyAlignment="1">
      <alignment horizontal="center"/>
    </xf>
    <xf numFmtId="0" fontId="0" fillId="0" borderId="34" xfId="0" applyBorder="1" applyAlignment="1">
      <alignment horizontal="right"/>
    </xf>
    <xf numFmtId="0" fontId="1" fillId="0" borderId="35" xfId="0" applyFont="1" applyBorder="1" applyAlignment="1">
      <alignment/>
    </xf>
    <xf numFmtId="0" fontId="1" fillId="0" borderId="0" xfId="0" applyFont="1" applyBorder="1" applyAlignment="1">
      <alignment/>
    </xf>
    <xf numFmtId="0" fontId="18" fillId="0" borderId="35" xfId="0" applyFont="1" applyBorder="1" applyAlignment="1">
      <alignment/>
    </xf>
    <xf numFmtId="186" fontId="77" fillId="0" borderId="0" xfId="0" applyNumberFormat="1" applyFont="1" applyBorder="1" applyAlignment="1">
      <alignment/>
    </xf>
    <xf numFmtId="3" fontId="0" fillId="0" borderId="0" xfId="0" applyNumberFormat="1" applyFont="1" applyBorder="1" applyAlignment="1">
      <alignment/>
    </xf>
    <xf numFmtId="3" fontId="77" fillId="0" borderId="0" xfId="0" applyNumberFormat="1" applyFont="1" applyBorder="1" applyAlignment="1">
      <alignment/>
    </xf>
    <xf numFmtId="3" fontId="76" fillId="0" borderId="0" xfId="0" applyNumberFormat="1" applyFont="1" applyBorder="1" applyAlignment="1">
      <alignment/>
    </xf>
    <xf numFmtId="180" fontId="76" fillId="0" borderId="36" xfId="0" applyNumberFormat="1" applyFont="1" applyBorder="1" applyAlignment="1">
      <alignment horizontal="right"/>
    </xf>
    <xf numFmtId="184" fontId="76" fillId="0" borderId="0" xfId="0" applyNumberFormat="1" applyFont="1" applyBorder="1" applyAlignment="1">
      <alignment/>
    </xf>
    <xf numFmtId="0" fontId="3" fillId="0" borderId="0" xfId="0" applyFont="1" applyBorder="1" applyAlignment="1">
      <alignment horizontal="center"/>
    </xf>
    <xf numFmtId="181" fontId="76" fillId="0" borderId="0" xfId="0" applyNumberFormat="1" applyFont="1" applyBorder="1" applyAlignment="1">
      <alignment/>
    </xf>
    <xf numFmtId="0" fontId="0" fillId="0" borderId="36" xfId="0" applyFont="1" applyBorder="1" applyAlignment="1" quotePrefix="1">
      <alignment/>
    </xf>
    <xf numFmtId="0" fontId="0" fillId="0" borderId="36" xfId="0" applyFont="1" applyBorder="1" applyAlignment="1">
      <alignment/>
    </xf>
    <xf numFmtId="0" fontId="3" fillId="0" borderId="35" xfId="0" applyFont="1" applyBorder="1" applyAlignment="1">
      <alignment horizontal="right"/>
    </xf>
    <xf numFmtId="188" fontId="76" fillId="0" borderId="0" xfId="0" applyNumberFormat="1" applyFont="1" applyBorder="1" applyAlignment="1">
      <alignment/>
    </xf>
    <xf numFmtId="188" fontId="77" fillId="0" borderId="0" xfId="0" applyNumberFormat="1" applyFont="1" applyBorder="1" applyAlignment="1">
      <alignment/>
    </xf>
    <xf numFmtId="188" fontId="80" fillId="0" borderId="0" xfId="0" applyNumberFormat="1" applyFont="1" applyBorder="1" applyAlignment="1">
      <alignment/>
    </xf>
    <xf numFmtId="3" fontId="80" fillId="0" borderId="0" xfId="0" applyNumberFormat="1" applyFont="1" applyBorder="1" applyAlignment="1">
      <alignment/>
    </xf>
    <xf numFmtId="0" fontId="7" fillId="0" borderId="0" xfId="0" applyFont="1" applyBorder="1" applyAlignment="1">
      <alignment horizontal="center"/>
    </xf>
    <xf numFmtId="0" fontId="81" fillId="0" borderId="35" xfId="0" applyFont="1" applyBorder="1" applyAlignment="1">
      <alignment horizontal="right"/>
    </xf>
    <xf numFmtId="9" fontId="76" fillId="0" borderId="0" xfId="0" applyNumberFormat="1" applyFont="1" applyBorder="1" applyAlignment="1">
      <alignment horizontal="right"/>
    </xf>
    <xf numFmtId="3" fontId="0" fillId="0" borderId="35" xfId="0" applyNumberFormat="1" applyFont="1" applyBorder="1" applyAlignment="1">
      <alignment horizontal="right"/>
    </xf>
    <xf numFmtId="0" fontId="0" fillId="0" borderId="35" xfId="0" applyBorder="1" applyAlignment="1">
      <alignment horizontal="right"/>
    </xf>
    <xf numFmtId="3" fontId="0" fillId="0" borderId="36" xfId="0" applyNumberFormat="1" applyFont="1" applyBorder="1" applyAlignment="1">
      <alignment/>
    </xf>
    <xf numFmtId="0" fontId="0" fillId="11" borderId="35" xfId="0" applyFill="1" applyBorder="1" applyAlignment="1">
      <alignment/>
    </xf>
    <xf numFmtId="0" fontId="0" fillId="11" borderId="0" xfId="0" applyFill="1" applyBorder="1" applyAlignment="1">
      <alignment/>
    </xf>
    <xf numFmtId="0" fontId="0" fillId="11" borderId="36" xfId="0" applyFill="1" applyBorder="1" applyAlignment="1">
      <alignment/>
    </xf>
    <xf numFmtId="9" fontId="77" fillId="0" borderId="0" xfId="0" applyNumberFormat="1" applyFont="1" applyBorder="1" applyAlignment="1">
      <alignment horizontal="right"/>
    </xf>
    <xf numFmtId="0" fontId="0" fillId="0" borderId="35" xfId="0" applyFont="1" applyBorder="1" applyAlignment="1">
      <alignment horizontal="right"/>
    </xf>
    <xf numFmtId="0" fontId="0" fillId="0" borderId="36" xfId="0" applyFont="1" applyBorder="1" applyAlignment="1">
      <alignment horizontal="right"/>
    </xf>
    <xf numFmtId="0" fontId="76" fillId="0" borderId="0" xfId="0" applyFont="1" applyBorder="1" applyAlignment="1">
      <alignment/>
    </xf>
    <xf numFmtId="0" fontId="0" fillId="11" borderId="35" xfId="0" applyFont="1" applyFill="1" applyBorder="1" applyAlignment="1">
      <alignment horizontal="right"/>
    </xf>
    <xf numFmtId="0" fontId="77" fillId="0" borderId="0" xfId="0" applyFont="1" applyBorder="1" applyAlignment="1">
      <alignment/>
    </xf>
    <xf numFmtId="0" fontId="76" fillId="0" borderId="0" xfId="0" applyFont="1" applyBorder="1" applyAlignment="1">
      <alignment horizontal="right"/>
    </xf>
    <xf numFmtId="182" fontId="77" fillId="0" borderId="0" xfId="0" applyNumberFormat="1" applyFont="1" applyBorder="1" applyAlignment="1">
      <alignment/>
    </xf>
    <xf numFmtId="182" fontId="76" fillId="0" borderId="0" xfId="0" applyNumberFormat="1" applyFont="1" applyBorder="1" applyAlignment="1">
      <alignment/>
    </xf>
    <xf numFmtId="189" fontId="76" fillId="0" borderId="0" xfId="0" applyNumberFormat="1"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185" fontId="76" fillId="0" borderId="36" xfId="0" applyNumberFormat="1" applyFont="1" applyBorder="1" applyAlignment="1">
      <alignment horizontal="left"/>
    </xf>
    <xf numFmtId="180" fontId="76" fillId="0" borderId="36" xfId="0" applyNumberFormat="1" applyFont="1" applyBorder="1" applyAlignment="1">
      <alignment horizontal="left"/>
    </xf>
    <xf numFmtId="0" fontId="0" fillId="0" borderId="0" xfId="0" applyBorder="1" applyAlignment="1" quotePrefix="1">
      <alignment/>
    </xf>
    <xf numFmtId="3" fontId="0" fillId="0" borderId="0" xfId="0" applyNumberFormat="1" applyBorder="1" applyAlignment="1">
      <alignment/>
    </xf>
    <xf numFmtId="1" fontId="0" fillId="0" borderId="0" xfId="0" applyNumberFormat="1" applyBorder="1" applyAlignment="1">
      <alignment/>
    </xf>
    <xf numFmtId="0" fontId="76" fillId="0" borderId="35" xfId="0" applyFont="1" applyBorder="1" applyAlignment="1">
      <alignment/>
    </xf>
    <xf numFmtId="9" fontId="0" fillId="0" borderId="0" xfId="0" applyNumberFormat="1" applyBorder="1" applyAlignment="1">
      <alignment/>
    </xf>
    <xf numFmtId="0" fontId="0" fillId="0" borderId="0" xfId="0" applyFont="1" applyBorder="1" applyAlignment="1" quotePrefix="1">
      <alignment/>
    </xf>
    <xf numFmtId="0" fontId="0" fillId="0" borderId="0" xfId="0" applyFont="1" applyBorder="1" applyAlignment="1">
      <alignment horizontal="center"/>
    </xf>
    <xf numFmtId="3" fontId="0" fillId="0" borderId="36" xfId="0" applyNumberFormat="1" applyBorder="1" applyAlignment="1">
      <alignment/>
    </xf>
    <xf numFmtId="2" fontId="0" fillId="0" borderId="0" xfId="0" applyNumberFormat="1" applyBorder="1" applyAlignment="1">
      <alignment/>
    </xf>
    <xf numFmtId="0" fontId="0" fillId="0" borderId="0" xfId="0" applyFont="1" applyBorder="1" applyAlignment="1">
      <alignment horizontal="right"/>
    </xf>
    <xf numFmtId="0" fontId="82" fillId="0" borderId="0" xfId="0" applyFont="1" applyBorder="1" applyAlignment="1">
      <alignment/>
    </xf>
    <xf numFmtId="192" fontId="77" fillId="0" borderId="36" xfId="0" applyNumberFormat="1" applyFont="1" applyBorder="1" applyAlignment="1">
      <alignment horizontal="left"/>
    </xf>
    <xf numFmtId="0" fontId="77" fillId="0" borderId="0" xfId="0" applyFont="1" applyAlignment="1">
      <alignment horizontal="center"/>
    </xf>
    <xf numFmtId="0" fontId="77" fillId="0" borderId="10" xfId="0" applyFont="1" applyBorder="1" applyAlignment="1">
      <alignment horizontal="center"/>
    </xf>
    <xf numFmtId="0" fontId="77" fillId="0" borderId="10" xfId="0" applyFont="1" applyBorder="1" applyAlignment="1">
      <alignment/>
    </xf>
    <xf numFmtId="0" fontId="83" fillId="0" borderId="0" xfId="0" applyFont="1" applyAlignment="1">
      <alignment/>
    </xf>
    <xf numFmtId="0" fontId="0" fillId="0" borderId="21" xfId="0" applyBorder="1" applyAlignment="1">
      <alignment horizontal="center"/>
    </xf>
    <xf numFmtId="10" fontId="4" fillId="0" borderId="10" xfId="0" applyNumberFormat="1" applyFont="1" applyBorder="1" applyAlignment="1">
      <alignment horizontal="center" wrapText="1"/>
    </xf>
    <xf numFmtId="0" fontId="4" fillId="0" borderId="10" xfId="0" applyFont="1" applyBorder="1" applyAlignment="1">
      <alignment horizontal="center"/>
    </xf>
    <xf numFmtId="0" fontId="4" fillId="0" borderId="10" xfId="0" applyFont="1" applyBorder="1" applyAlignment="1">
      <alignment horizontal="center" wrapText="1"/>
    </xf>
    <xf numFmtId="10" fontId="5" fillId="0" borderId="0" xfId="0" applyNumberFormat="1" applyFont="1" applyBorder="1" applyAlignment="1">
      <alignment horizontal="left"/>
    </xf>
    <xf numFmtId="10" fontId="5" fillId="0" borderId="0" xfId="0" applyNumberFormat="1" applyFont="1" applyBorder="1" applyAlignment="1">
      <alignment/>
    </xf>
    <xf numFmtId="0" fontId="3" fillId="0" borderId="36" xfId="0" applyFont="1" applyBorder="1" applyAlignment="1">
      <alignment horizontal="center"/>
    </xf>
    <xf numFmtId="0" fontId="76" fillId="0" borderId="21" xfId="0" applyFont="1" applyBorder="1" applyAlignment="1">
      <alignment horizontal="center"/>
    </xf>
    <xf numFmtId="10" fontId="5" fillId="0" borderId="21" xfId="0" applyNumberFormat="1" applyFont="1" applyBorder="1" applyAlignment="1">
      <alignment/>
    </xf>
    <xf numFmtId="0" fontId="76" fillId="0" borderId="0" xfId="0" applyFont="1" applyBorder="1" applyAlignment="1">
      <alignment horizontal="center"/>
    </xf>
    <xf numFmtId="10" fontId="5" fillId="0" borderId="42" xfId="0" applyNumberFormat="1" applyFont="1" applyBorder="1" applyAlignment="1">
      <alignment horizontal="left"/>
    </xf>
    <xf numFmtId="0" fontId="76" fillId="0" borderId="43" xfId="0" applyFont="1" applyBorder="1" applyAlignment="1">
      <alignment horizontal="center"/>
    </xf>
    <xf numFmtId="10" fontId="5" fillId="0" borderId="43" xfId="0" applyNumberFormat="1" applyFont="1" applyBorder="1" applyAlignment="1">
      <alignment/>
    </xf>
    <xf numFmtId="10" fontId="5" fillId="0" borderId="44" xfId="0" applyNumberFormat="1" applyFont="1" applyBorder="1" applyAlignment="1">
      <alignment horizontal="left"/>
    </xf>
    <xf numFmtId="10" fontId="5" fillId="0" borderId="45" xfId="0" applyNumberFormat="1" applyFont="1" applyBorder="1" applyAlignment="1">
      <alignment horizontal="left"/>
    </xf>
    <xf numFmtId="0" fontId="0" fillId="0" borderId="46" xfId="0" applyFont="1" applyBorder="1" applyAlignment="1">
      <alignment horizontal="center"/>
    </xf>
    <xf numFmtId="0" fontId="0" fillId="0" borderId="43" xfId="0" applyBorder="1" applyAlignment="1">
      <alignment/>
    </xf>
    <xf numFmtId="0" fontId="0" fillId="0" borderId="47" xfId="0" applyFont="1" applyBorder="1" applyAlignment="1">
      <alignment/>
    </xf>
    <xf numFmtId="0" fontId="6" fillId="0" borderId="48" xfId="0" applyFont="1" applyBorder="1" applyAlignment="1">
      <alignment horizontal="left"/>
    </xf>
    <xf numFmtId="10" fontId="0" fillId="0" borderId="40" xfId="0" applyNumberFormat="1" applyBorder="1" applyAlignment="1">
      <alignment/>
    </xf>
    <xf numFmtId="0" fontId="6" fillId="0" borderId="21" xfId="0" applyFont="1" applyBorder="1" applyAlignment="1">
      <alignment horizontal="left"/>
    </xf>
    <xf numFmtId="10" fontId="17" fillId="0" borderId="0" xfId="0" applyNumberFormat="1" applyFont="1" applyBorder="1" applyAlignment="1">
      <alignment horizontal="center"/>
    </xf>
    <xf numFmtId="10" fontId="17" fillId="0" borderId="48" xfId="0" applyNumberFormat="1" applyFont="1" applyBorder="1" applyAlignment="1">
      <alignment horizontal="center"/>
    </xf>
    <xf numFmtId="0" fontId="1" fillId="0" borderId="37" xfId="0" applyFont="1" applyBorder="1" applyAlignment="1">
      <alignment/>
    </xf>
    <xf numFmtId="1" fontId="22" fillId="0" borderId="0" xfId="0" applyNumberFormat="1" applyFont="1" applyBorder="1" applyAlignment="1">
      <alignment horizontal="center"/>
    </xf>
    <xf numFmtId="175" fontId="17" fillId="0" borderId="0" xfId="0" applyNumberFormat="1"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xf>
    <xf numFmtId="0" fontId="84" fillId="0" borderId="0" xfId="0" applyFont="1" applyBorder="1" applyAlignment="1">
      <alignment horizontal="center"/>
    </xf>
    <xf numFmtId="0" fontId="20" fillId="0" borderId="49" xfId="0" applyFont="1" applyBorder="1" applyAlignment="1">
      <alignment horizontal="center" wrapText="1"/>
    </xf>
    <xf numFmtId="0" fontId="20" fillId="0" borderId="49" xfId="0" applyFont="1" applyFill="1" applyBorder="1" applyAlignment="1">
      <alignment horizontal="center" wrapText="1"/>
    </xf>
    <xf numFmtId="0" fontId="22" fillId="0" borderId="0" xfId="0" applyFont="1" applyBorder="1" applyAlignment="1">
      <alignment horizontal="center"/>
    </xf>
    <xf numFmtId="0" fontId="22" fillId="0" borderId="48" xfId="0" applyFont="1" applyBorder="1" applyAlignment="1">
      <alignment horizontal="center"/>
    </xf>
    <xf numFmtId="175" fontId="22" fillId="0" borderId="0" xfId="0" applyNumberFormat="1" applyFont="1" applyBorder="1" applyAlignment="1">
      <alignment horizontal="center"/>
    </xf>
    <xf numFmtId="175" fontId="22" fillId="0" borderId="48" xfId="0" applyNumberFormat="1" applyFont="1" applyBorder="1" applyAlignment="1">
      <alignment horizontal="center"/>
    </xf>
    <xf numFmtId="10" fontId="17" fillId="0" borderId="21" xfId="0" applyNumberFormat="1" applyFont="1" applyBorder="1" applyAlignment="1">
      <alignment horizontal="center"/>
    </xf>
    <xf numFmtId="175" fontId="22" fillId="0" borderId="21" xfId="0" applyNumberFormat="1" applyFont="1" applyBorder="1" applyAlignment="1">
      <alignment horizontal="center"/>
    </xf>
    <xf numFmtId="0" fontId="22" fillId="0" borderId="21" xfId="0" applyFont="1" applyBorder="1" applyAlignment="1">
      <alignment horizontal="center"/>
    </xf>
    <xf numFmtId="0" fontId="1" fillId="0" borderId="37" xfId="0" applyFont="1" applyBorder="1" applyAlignment="1">
      <alignment wrapText="1"/>
    </xf>
    <xf numFmtId="0" fontId="3" fillId="0" borderId="21" xfId="0" applyFont="1" applyBorder="1" applyAlignment="1">
      <alignment horizontal="right"/>
    </xf>
    <xf numFmtId="0" fontId="5" fillId="0" borderId="35" xfId="0" applyFont="1" applyBorder="1" applyAlignment="1">
      <alignment/>
    </xf>
    <xf numFmtId="0" fontId="5" fillId="0" borderId="0" xfId="0" applyFont="1" applyBorder="1" applyAlignment="1">
      <alignment/>
    </xf>
    <xf numFmtId="10" fontId="20" fillId="0" borderId="49" xfId="0" applyNumberFormat="1" applyFont="1" applyBorder="1" applyAlignment="1">
      <alignment horizontal="center" wrapText="1"/>
    </xf>
    <xf numFmtId="0" fontId="3" fillId="0" borderId="22" xfId="0" applyFont="1" applyBorder="1" applyAlignment="1">
      <alignment horizontal="center"/>
    </xf>
    <xf numFmtId="0" fontId="4" fillId="0" borderId="10" xfId="0" applyFont="1" applyBorder="1" applyAlignment="1">
      <alignment horizontal="left"/>
    </xf>
    <xf numFmtId="0" fontId="0" fillId="0" borderId="44" xfId="0" applyFont="1" applyBorder="1" applyAlignment="1">
      <alignment/>
    </xf>
    <xf numFmtId="175" fontId="76" fillId="0" borderId="46" xfId="0" applyNumberFormat="1" applyFont="1" applyBorder="1" applyAlignment="1">
      <alignment horizontal="center"/>
    </xf>
    <xf numFmtId="175" fontId="77" fillId="0" borderId="46" xfId="0" applyNumberFormat="1" applyFont="1" applyBorder="1" applyAlignment="1">
      <alignment horizontal="center"/>
    </xf>
    <xf numFmtId="9" fontId="0" fillId="0" borderId="0" xfId="0" applyNumberFormat="1" applyBorder="1" applyAlignment="1">
      <alignment horizontal="center"/>
    </xf>
    <xf numFmtId="0" fontId="0" fillId="0" borderId="0" xfId="0" applyFont="1" applyBorder="1" applyAlignment="1">
      <alignment horizontal="justify" vertical="center" wrapText="1"/>
    </xf>
    <xf numFmtId="9" fontId="0" fillId="0" borderId="0" xfId="0" applyNumberFormat="1" applyFont="1" applyBorder="1" applyAlignment="1">
      <alignment horizontal="center" vertical="center" wrapText="1"/>
    </xf>
    <xf numFmtId="0" fontId="3" fillId="0" borderId="40" xfId="0" applyFont="1" applyBorder="1" applyAlignment="1">
      <alignment horizontal="center"/>
    </xf>
    <xf numFmtId="0" fontId="3" fillId="0" borderId="10" xfId="0" applyFont="1" applyBorder="1" applyAlignment="1">
      <alignment horizontal="right"/>
    </xf>
    <xf numFmtId="9" fontId="0" fillId="0" borderId="10" xfId="0" applyNumberFormat="1" applyBorder="1" applyAlignment="1">
      <alignment horizontal="center"/>
    </xf>
    <xf numFmtId="0" fontId="20" fillId="0" borderId="0"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0" xfId="0" applyFont="1" applyBorder="1" applyAlignment="1">
      <alignment horizontal="justify" vertical="center" wrapText="1"/>
    </xf>
    <xf numFmtId="0" fontId="12" fillId="0" borderId="50" xfId="0" applyFont="1" applyBorder="1" applyAlignment="1">
      <alignment horizontal="left" vertical="center" wrapText="1"/>
    </xf>
    <xf numFmtId="0" fontId="20"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0" fillId="0" borderId="13" xfId="0" applyBorder="1" applyAlignment="1">
      <alignment/>
    </xf>
    <xf numFmtId="1" fontId="0" fillId="0" borderId="14" xfId="0" applyNumberFormat="1" applyBorder="1" applyAlignment="1">
      <alignment horizontal="center"/>
    </xf>
    <xf numFmtId="1" fontId="0" fillId="0" borderId="16" xfId="0" applyNumberFormat="1" applyBorder="1" applyAlignment="1">
      <alignment horizontal="center"/>
    </xf>
    <xf numFmtId="0" fontId="3" fillId="0" borderId="18" xfId="0" applyFont="1" applyBorder="1" applyAlignment="1">
      <alignment/>
    </xf>
    <xf numFmtId="0" fontId="2" fillId="0" borderId="19" xfId="0" applyFont="1" applyBorder="1" applyAlignment="1">
      <alignment horizontal="center"/>
    </xf>
    <xf numFmtId="187" fontId="0" fillId="0" borderId="14" xfId="0" applyNumberFormat="1" applyBorder="1" applyAlignment="1">
      <alignment/>
    </xf>
    <xf numFmtId="187" fontId="0" fillId="0" borderId="16" xfId="0" applyNumberFormat="1" applyBorder="1" applyAlignment="1">
      <alignment/>
    </xf>
    <xf numFmtId="187" fontId="0" fillId="0" borderId="19" xfId="0" applyNumberFormat="1" applyBorder="1" applyAlignment="1">
      <alignment/>
    </xf>
    <xf numFmtId="0" fontId="20" fillId="0" borderId="54" xfId="0" applyFont="1" applyBorder="1" applyAlignment="1">
      <alignment horizontal="center" vertical="center" wrapText="1"/>
    </xf>
    <xf numFmtId="0" fontId="20" fillId="0" borderId="55" xfId="0" applyFont="1" applyBorder="1" applyAlignment="1">
      <alignment horizontal="justify" vertical="center" wrapText="1"/>
    </xf>
    <xf numFmtId="0" fontId="20" fillId="0" borderId="56" xfId="0" applyFont="1" applyBorder="1" applyAlignment="1">
      <alignment horizontal="justify" vertical="center" wrapText="1"/>
    </xf>
    <xf numFmtId="0" fontId="20" fillId="0" borderId="57" xfId="0" applyFont="1" applyBorder="1" applyAlignment="1">
      <alignment horizontal="justify"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xf>
    <xf numFmtId="0" fontId="0" fillId="0" borderId="0" xfId="0" applyNumberFormat="1" applyAlignment="1">
      <alignment horizontal="center"/>
    </xf>
    <xf numFmtId="0" fontId="0" fillId="0" borderId="0" xfId="0" applyNumberFormat="1" applyFont="1" applyBorder="1" applyAlignment="1" quotePrefix="1">
      <alignment horizontal="center" vertical="center"/>
    </xf>
    <xf numFmtId="0" fontId="3" fillId="0" borderId="13" xfId="0" applyFont="1" applyBorder="1" applyAlignment="1">
      <alignment horizontal="justify" vertical="center" wrapText="1"/>
    </xf>
    <xf numFmtId="9" fontId="3" fillId="0" borderId="12"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0" fontId="0" fillId="0" borderId="15" xfId="0" applyFont="1" applyBorder="1" applyAlignment="1">
      <alignment horizontal="justify" vertical="center" wrapText="1"/>
    </xf>
    <xf numFmtId="0" fontId="0" fillId="0" borderId="16" xfId="0" applyNumberFormat="1" applyFont="1" applyBorder="1" applyAlignment="1">
      <alignment horizontal="center" vertical="center" wrapText="1"/>
    </xf>
    <xf numFmtId="0" fontId="0" fillId="0" borderId="0" xfId="0" applyNumberFormat="1" applyBorder="1" applyAlignment="1">
      <alignment horizontal="center"/>
    </xf>
    <xf numFmtId="0" fontId="0" fillId="0" borderId="15" xfId="0" applyFont="1" applyFill="1" applyBorder="1" applyAlignment="1">
      <alignment horizontal="justify" vertical="center" wrapText="1"/>
    </xf>
    <xf numFmtId="0" fontId="5" fillId="0" borderId="0" xfId="0" applyNumberFormat="1" applyFont="1" applyBorder="1" applyAlignment="1">
      <alignment horizontal="center"/>
    </xf>
    <xf numFmtId="0" fontId="5" fillId="0" borderId="16" xfId="0" applyNumberFormat="1" applyFont="1" applyBorder="1" applyAlignment="1">
      <alignment horizontal="center"/>
    </xf>
    <xf numFmtId="0" fontId="0" fillId="0" borderId="16" xfId="0" applyNumberFormat="1" applyBorder="1" applyAlignment="1">
      <alignment horizontal="center"/>
    </xf>
    <xf numFmtId="0" fontId="0" fillId="0" borderId="18" xfId="0" applyFont="1" applyFill="1" applyBorder="1" applyAlignment="1">
      <alignment horizontal="justify" vertical="center" wrapText="1"/>
    </xf>
    <xf numFmtId="0" fontId="0" fillId="0" borderId="17" xfId="0" applyNumberFormat="1" applyBorder="1" applyAlignment="1">
      <alignment horizontal="center"/>
    </xf>
    <xf numFmtId="0" fontId="0" fillId="0" borderId="19" xfId="0" applyNumberFormat="1" applyBorder="1" applyAlignment="1">
      <alignment horizontal="center"/>
    </xf>
    <xf numFmtId="0" fontId="76" fillId="0" borderId="0" xfId="0" applyFont="1" applyBorder="1" applyAlignment="1">
      <alignment horizontal="justify" vertical="center" wrapText="1"/>
    </xf>
    <xf numFmtId="0" fontId="76" fillId="0" borderId="31" xfId="0" applyFont="1" applyBorder="1" applyAlignment="1">
      <alignment/>
    </xf>
    <xf numFmtId="0" fontId="85" fillId="0" borderId="0" xfId="0" applyFont="1" applyAlignment="1">
      <alignment/>
    </xf>
    <xf numFmtId="0" fontId="0" fillId="0" borderId="0" xfId="0" applyBorder="1" applyAlignment="1">
      <alignment horizontal="left" vertical="top" wrapText="1"/>
    </xf>
    <xf numFmtId="0" fontId="12" fillId="0" borderId="0" xfId="0" applyFont="1" applyBorder="1" applyAlignment="1">
      <alignment horizontal="center" wrapText="1"/>
    </xf>
    <xf numFmtId="0" fontId="17" fillId="0" borderId="0" xfId="0" applyFont="1" applyBorder="1" applyAlignment="1">
      <alignment horizontal="center" vertical="center" wrapText="1"/>
    </xf>
    <xf numFmtId="0" fontId="20" fillId="0" borderId="0" xfId="0" applyFont="1" applyBorder="1" applyAlignment="1">
      <alignment horizontal="center" wrapText="1"/>
    </xf>
    <xf numFmtId="0" fontId="17" fillId="0" borderId="0"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3" fillId="0" borderId="30" xfId="0" applyFont="1" applyBorder="1" applyAlignment="1">
      <alignment horizontal="center"/>
    </xf>
    <xf numFmtId="0" fontId="76" fillId="0" borderId="32" xfId="0" applyFont="1" applyBorder="1" applyAlignment="1">
      <alignment horizontal="center"/>
    </xf>
    <xf numFmtId="0" fontId="0" fillId="33" borderId="0" xfId="0" applyFill="1" applyBorder="1" applyAlignment="1">
      <alignment/>
    </xf>
    <xf numFmtId="0" fontId="0" fillId="33" borderId="0" xfId="0" applyFill="1" applyAlignment="1">
      <alignment/>
    </xf>
    <xf numFmtId="0" fontId="6" fillId="33" borderId="0" xfId="0" applyFont="1" applyFill="1" applyBorder="1" applyAlignment="1">
      <alignment horizontal="center"/>
    </xf>
    <xf numFmtId="0" fontId="3" fillId="33" borderId="0" xfId="0" applyFont="1" applyFill="1" applyBorder="1" applyAlignment="1">
      <alignment horizontal="center"/>
    </xf>
    <xf numFmtId="176" fontId="0" fillId="33" borderId="0" xfId="0" applyNumberFormat="1" applyFill="1" applyBorder="1" applyAlignment="1">
      <alignment horizontal="center"/>
    </xf>
    <xf numFmtId="0" fontId="12" fillId="33" borderId="0" xfId="0" applyFont="1" applyFill="1" applyBorder="1" applyAlignment="1">
      <alignment horizontal="center" wrapText="1"/>
    </xf>
    <xf numFmtId="0" fontId="20" fillId="33"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9" fontId="0" fillId="33" borderId="0" xfId="0" applyNumberFormat="1" applyFill="1" applyBorder="1" applyAlignment="1">
      <alignment horizontal="center"/>
    </xf>
    <xf numFmtId="0" fontId="3" fillId="33" borderId="0" xfId="0" applyFont="1" applyFill="1" applyAlignment="1">
      <alignment horizontal="center"/>
    </xf>
    <xf numFmtId="0" fontId="0" fillId="33" borderId="0" xfId="0" applyFill="1" applyBorder="1" applyAlignment="1">
      <alignment horizontal="left" vertical="top" wrapText="1"/>
    </xf>
    <xf numFmtId="0" fontId="5" fillId="33" borderId="0" xfId="0" applyFont="1" applyFill="1" applyAlignment="1">
      <alignment/>
    </xf>
    <xf numFmtId="0" fontId="5" fillId="33" borderId="0" xfId="0" applyFont="1" applyFill="1" applyBorder="1" applyAlignment="1">
      <alignment/>
    </xf>
    <xf numFmtId="0" fontId="20" fillId="33" borderId="0" xfId="0" applyFont="1" applyFill="1" applyBorder="1" applyAlignment="1">
      <alignment horizontal="center" wrapText="1"/>
    </xf>
    <xf numFmtId="0" fontId="17" fillId="33" borderId="0" xfId="0" applyFont="1" applyFill="1" applyBorder="1" applyAlignment="1">
      <alignment horizontal="center"/>
    </xf>
    <xf numFmtId="1" fontId="6" fillId="33" borderId="0" xfId="0" applyNumberFormat="1" applyFont="1" applyFill="1" applyBorder="1" applyAlignment="1">
      <alignment horizontal="center"/>
    </xf>
    <xf numFmtId="0" fontId="4" fillId="33" borderId="0" xfId="0" applyFont="1" applyFill="1" applyBorder="1" applyAlignment="1">
      <alignment horizontal="center"/>
    </xf>
    <xf numFmtId="0" fontId="76" fillId="33" borderId="0" xfId="0" applyFont="1" applyFill="1" applyBorder="1" applyAlignment="1">
      <alignment horizontal="center"/>
    </xf>
    <xf numFmtId="0" fontId="4" fillId="0" borderId="12" xfId="0" applyFont="1" applyBorder="1" applyAlignment="1">
      <alignment/>
    </xf>
    <xf numFmtId="0" fontId="5" fillId="0" borderId="17" xfId="0" applyFont="1" applyBorder="1" applyAlignment="1">
      <alignment/>
    </xf>
    <xf numFmtId="0" fontId="86" fillId="0" borderId="37" xfId="0" applyFont="1" applyBorder="1" applyAlignment="1">
      <alignment/>
    </xf>
    <xf numFmtId="0" fontId="0" fillId="0" borderId="62" xfId="0" applyBorder="1" applyAlignment="1">
      <alignment/>
    </xf>
    <xf numFmtId="0" fontId="0" fillId="0" borderId="63" xfId="0" applyBorder="1" applyAlignment="1">
      <alignment/>
    </xf>
    <xf numFmtId="0" fontId="0" fillId="0" borderId="38" xfId="0" applyFont="1" applyBorder="1" applyAlignment="1">
      <alignment horizontal="right"/>
    </xf>
    <xf numFmtId="0" fontId="20" fillId="0" borderId="64" xfId="0" applyFont="1" applyBorder="1" applyAlignment="1">
      <alignment horizontal="center" vertical="center" wrapText="1"/>
    </xf>
    <xf numFmtId="0" fontId="0" fillId="0" borderId="65" xfId="0" applyBorder="1" applyAlignment="1">
      <alignment/>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0" fillId="0" borderId="68" xfId="0" applyFont="1" applyBorder="1" applyAlignment="1">
      <alignment/>
    </xf>
    <xf numFmtId="0" fontId="17" fillId="0" borderId="69" xfId="0" applyFont="1" applyBorder="1" applyAlignment="1">
      <alignment horizontal="center" vertical="center" wrapText="1"/>
    </xf>
    <xf numFmtId="0" fontId="20" fillId="0" borderId="41" xfId="0" applyFont="1" applyBorder="1" applyAlignment="1">
      <alignment horizontal="center" vertical="center" wrapText="1"/>
    </xf>
    <xf numFmtId="9" fontId="0" fillId="0" borderId="63" xfId="0" applyNumberFormat="1" applyBorder="1" applyAlignment="1">
      <alignment horizontal="center"/>
    </xf>
    <xf numFmtId="0" fontId="5" fillId="0" borderId="36" xfId="0" applyFont="1" applyBorder="1" applyAlignment="1">
      <alignment/>
    </xf>
    <xf numFmtId="0" fontId="76" fillId="0" borderId="36" xfId="0" applyFont="1" applyBorder="1" applyAlignment="1">
      <alignment horizontal="center"/>
    </xf>
    <xf numFmtId="0" fontId="20" fillId="0" borderId="70" xfId="0" applyFont="1" applyBorder="1" applyAlignment="1">
      <alignment horizontal="center" wrapText="1"/>
    </xf>
    <xf numFmtId="0" fontId="17" fillId="0" borderId="36" xfId="0" applyFont="1" applyBorder="1" applyAlignment="1">
      <alignment horizontal="center"/>
    </xf>
    <xf numFmtId="0" fontId="4" fillId="0" borderId="62" xfId="0" applyFont="1" applyBorder="1" applyAlignment="1">
      <alignment horizontal="center"/>
    </xf>
    <xf numFmtId="0" fontId="76" fillId="0" borderId="71" xfId="0" applyFont="1" applyBorder="1" applyAlignment="1">
      <alignment horizontal="center"/>
    </xf>
    <xf numFmtId="0" fontId="76" fillId="0" borderId="63" xfId="0" applyFont="1" applyBorder="1" applyAlignment="1">
      <alignment horizontal="center"/>
    </xf>
    <xf numFmtId="0" fontId="3" fillId="0" borderId="35" xfId="0" applyFont="1" applyBorder="1" applyAlignment="1">
      <alignment horizontal="center" vertical="top"/>
    </xf>
    <xf numFmtId="0" fontId="0" fillId="0" borderId="10" xfId="0" applyFont="1" applyBorder="1" applyAlignment="1">
      <alignment horizontal="right"/>
    </xf>
    <xf numFmtId="0" fontId="0" fillId="0" borderId="72" xfId="0" applyBorder="1" applyAlignment="1">
      <alignment horizontal="right"/>
    </xf>
    <xf numFmtId="0" fontId="0" fillId="0" borderId="71" xfId="0" applyBorder="1" applyAlignment="1">
      <alignment/>
    </xf>
    <xf numFmtId="0" fontId="0" fillId="0" borderId="73" xfId="0" applyBorder="1" applyAlignment="1">
      <alignment/>
    </xf>
    <xf numFmtId="0" fontId="0" fillId="0" borderId="74" xfId="0" applyBorder="1" applyAlignment="1">
      <alignment/>
    </xf>
    <xf numFmtId="0" fontId="20" fillId="0" borderId="10" xfId="0" applyFont="1" applyBorder="1" applyAlignment="1">
      <alignment horizontal="center" wrapText="1"/>
    </xf>
    <xf numFmtId="0" fontId="4" fillId="0" borderId="21" xfId="0" applyFont="1" applyBorder="1" applyAlignment="1">
      <alignment horizontal="center" wrapText="1"/>
    </xf>
    <xf numFmtId="0" fontId="3" fillId="0" borderId="46" xfId="0" applyFont="1" applyBorder="1" applyAlignment="1">
      <alignment horizontal="center"/>
    </xf>
    <xf numFmtId="175" fontId="6" fillId="0" borderId="46" xfId="0" applyNumberFormat="1" applyFont="1" applyBorder="1" applyAlignment="1">
      <alignment horizontal="center"/>
    </xf>
    <xf numFmtId="0" fontId="76" fillId="0" borderId="46" xfId="0" applyFont="1" applyBorder="1" applyAlignment="1">
      <alignment horizontal="center"/>
    </xf>
    <xf numFmtId="0" fontId="5" fillId="0" borderId="12" xfId="0" applyFont="1" applyBorder="1" applyAlignment="1">
      <alignment/>
    </xf>
    <xf numFmtId="0" fontId="76" fillId="0" borderId="18" xfId="0" applyFont="1" applyBorder="1" applyAlignment="1">
      <alignment horizontal="center" vertical="center" wrapText="1"/>
    </xf>
    <xf numFmtId="0" fontId="76" fillId="0" borderId="15" xfId="0" applyFont="1" applyBorder="1" applyAlignment="1">
      <alignment horizontal="center" vertical="center" wrapText="1"/>
    </xf>
    <xf numFmtId="0" fontId="5" fillId="0" borderId="0" xfId="0" applyFont="1" applyFill="1" applyBorder="1" applyAlignment="1">
      <alignment/>
    </xf>
    <xf numFmtId="0" fontId="5" fillId="0" borderId="17" xfId="0" applyFont="1" applyFill="1" applyBorder="1" applyAlignment="1">
      <alignment/>
    </xf>
    <xf numFmtId="0" fontId="3" fillId="0" borderId="13" xfId="0" applyFont="1" applyFill="1" applyBorder="1" applyAlignment="1">
      <alignment horizontal="justify" vertical="center" wrapText="1"/>
    </xf>
    <xf numFmtId="0" fontId="0" fillId="0" borderId="12" xfId="0" applyNumberFormat="1" applyBorder="1" applyAlignment="1">
      <alignment horizontal="center"/>
    </xf>
    <xf numFmtId="0" fontId="5" fillId="0" borderId="15" xfId="0" applyFont="1" applyFill="1" applyBorder="1" applyAlignment="1">
      <alignment horizontal="justify" vertical="center" wrapText="1"/>
    </xf>
    <xf numFmtId="0" fontId="5" fillId="0" borderId="0" xfId="0" applyNumberFormat="1" applyFont="1" applyBorder="1" applyAlignment="1">
      <alignment horizontal="left"/>
    </xf>
    <xf numFmtId="0" fontId="5" fillId="0" borderId="18" xfId="0" applyFont="1" applyFill="1" applyBorder="1" applyAlignment="1">
      <alignment horizontal="justify" vertical="center" wrapText="1"/>
    </xf>
    <xf numFmtId="0" fontId="0" fillId="0" borderId="75" xfId="0" applyFont="1" applyBorder="1" applyAlignment="1">
      <alignment horizontal="center"/>
    </xf>
    <xf numFmtId="0" fontId="0" fillId="0" borderId="76" xfId="0" applyFont="1" applyBorder="1" applyAlignment="1">
      <alignment horizontal="center"/>
    </xf>
    <xf numFmtId="0" fontId="17" fillId="0" borderId="35" xfId="0" applyFont="1" applyBorder="1" applyAlignment="1">
      <alignment/>
    </xf>
    <xf numFmtId="0" fontId="87" fillId="0" borderId="0" xfId="0" applyFont="1" applyBorder="1" applyAlignment="1">
      <alignment vertical="center" wrapText="1"/>
    </xf>
    <xf numFmtId="0" fontId="87" fillId="0" borderId="47" xfId="0" applyFont="1" applyBorder="1" applyAlignment="1">
      <alignment/>
    </xf>
    <xf numFmtId="0" fontId="87" fillId="0" borderId="77" xfId="0" applyFont="1" applyBorder="1" applyAlignment="1">
      <alignment/>
    </xf>
    <xf numFmtId="0" fontId="0" fillId="0" borderId="78" xfId="0" applyBorder="1" applyAlignment="1">
      <alignment/>
    </xf>
    <xf numFmtId="0" fontId="0" fillId="0" borderId="79" xfId="0" applyBorder="1" applyAlignment="1">
      <alignment/>
    </xf>
    <xf numFmtId="0" fontId="3" fillId="0" borderId="13" xfId="0" applyFont="1" applyBorder="1" applyAlignment="1">
      <alignment horizontal="right"/>
    </xf>
    <xf numFmtId="0" fontId="0" fillId="0" borderId="15" xfId="0" applyBorder="1" applyAlignment="1">
      <alignment horizontal="right"/>
    </xf>
    <xf numFmtId="0" fontId="0" fillId="0" borderId="18" xfId="0" applyBorder="1" applyAlignment="1">
      <alignment horizontal="right"/>
    </xf>
    <xf numFmtId="180" fontId="76" fillId="0" borderId="63" xfId="0" applyNumberFormat="1" applyFont="1" applyBorder="1" applyAlignment="1">
      <alignment horizontal="left"/>
    </xf>
    <xf numFmtId="184" fontId="76" fillId="0" borderId="10" xfId="0" applyNumberFormat="1" applyFont="1" applyBorder="1" applyAlignment="1">
      <alignment/>
    </xf>
    <xf numFmtId="180" fontId="76" fillId="0" borderId="62" xfId="0" applyNumberFormat="1" applyFont="1" applyBorder="1" applyAlignment="1">
      <alignment horizontal="right"/>
    </xf>
    <xf numFmtId="181" fontId="76" fillId="0" borderId="21" xfId="0" applyNumberFormat="1" applyFont="1" applyBorder="1" applyAlignment="1">
      <alignment/>
    </xf>
    <xf numFmtId="0" fontId="0" fillId="0" borderId="63" xfId="0" applyFont="1" applyBorder="1" applyAlignment="1">
      <alignment/>
    </xf>
    <xf numFmtId="0" fontId="88" fillId="0" borderId="37" xfId="0" applyFont="1" applyBorder="1" applyAlignment="1">
      <alignment/>
    </xf>
    <xf numFmtId="0" fontId="0" fillId="0" borderId="39" xfId="0" applyFont="1" applyBorder="1" applyAlignment="1">
      <alignment horizontal="right"/>
    </xf>
    <xf numFmtId="9" fontId="76" fillId="0" borderId="40" xfId="0" applyNumberFormat="1" applyFont="1" applyBorder="1" applyAlignment="1">
      <alignment horizontal="right"/>
    </xf>
    <xf numFmtId="0" fontId="88" fillId="0" borderId="80" xfId="0" applyFont="1" applyBorder="1" applyAlignment="1">
      <alignment/>
    </xf>
    <xf numFmtId="188" fontId="76" fillId="0" borderId="0" xfId="0" applyNumberFormat="1" applyFont="1" applyBorder="1" applyAlignment="1">
      <alignment horizontal="center"/>
    </xf>
    <xf numFmtId="188" fontId="77" fillId="0" borderId="0" xfId="0" applyNumberFormat="1" applyFont="1" applyBorder="1" applyAlignment="1">
      <alignment horizontal="center"/>
    </xf>
    <xf numFmtId="176" fontId="0" fillId="0" borderId="34" xfId="0" applyNumberFormat="1" applyBorder="1" applyAlignment="1">
      <alignment horizontal="center"/>
    </xf>
    <xf numFmtId="176" fontId="0" fillId="0" borderId="36" xfId="0" applyNumberFormat="1" applyBorder="1" applyAlignment="1">
      <alignment horizontal="center"/>
    </xf>
    <xf numFmtId="197" fontId="76" fillId="0" borderId="10" xfId="0" applyNumberFormat="1" applyFont="1" applyBorder="1" applyAlignment="1">
      <alignment horizontal="center"/>
    </xf>
    <xf numFmtId="0" fontId="2" fillId="0" borderId="10" xfId="0" applyFont="1" applyBorder="1" applyAlignment="1">
      <alignment horizontal="left"/>
    </xf>
    <xf numFmtId="0" fontId="1" fillId="0" borderId="65" xfId="0" applyFont="1" applyBorder="1" applyAlignment="1">
      <alignment/>
    </xf>
    <xf numFmtId="10" fontId="20" fillId="0" borderId="75" xfId="0" applyNumberFormat="1" applyFont="1" applyBorder="1" applyAlignment="1">
      <alignment horizontal="center" wrapText="1"/>
    </xf>
    <xf numFmtId="0" fontId="20" fillId="0" borderId="75" xfId="0" applyFont="1" applyFill="1" applyBorder="1" applyAlignment="1">
      <alignment horizontal="center" wrapText="1"/>
    </xf>
    <xf numFmtId="0" fontId="20" fillId="0" borderId="75" xfId="0" applyFont="1" applyBorder="1" applyAlignment="1">
      <alignment horizontal="center" wrapText="1"/>
    </xf>
    <xf numFmtId="0" fontId="6" fillId="0" borderId="12" xfId="0" applyFont="1" applyBorder="1" applyAlignment="1">
      <alignment horizontal="left"/>
    </xf>
    <xf numFmtId="0" fontId="20" fillId="0" borderId="12" xfId="0" applyFont="1" applyBorder="1" applyAlignment="1">
      <alignment horizontal="center" wrapText="1"/>
    </xf>
    <xf numFmtId="0" fontId="0" fillId="0" borderId="81" xfId="0" applyBorder="1" applyAlignment="1">
      <alignment/>
    </xf>
    <xf numFmtId="0" fontId="25" fillId="0" borderId="35" xfId="0" applyFont="1" applyBorder="1" applyAlignment="1">
      <alignment/>
    </xf>
    <xf numFmtId="10" fontId="17" fillId="0" borderId="17" xfId="0" applyNumberFormat="1" applyFont="1" applyBorder="1" applyAlignment="1">
      <alignment horizontal="center"/>
    </xf>
    <xf numFmtId="0" fontId="17" fillId="0" borderId="17" xfId="0" applyFont="1" applyBorder="1" applyAlignment="1">
      <alignment horizontal="center"/>
    </xf>
    <xf numFmtId="0" fontId="22" fillId="0" borderId="17" xfId="0" applyFont="1" applyBorder="1" applyAlignment="1">
      <alignment horizontal="center"/>
    </xf>
    <xf numFmtId="0" fontId="6" fillId="0" borderId="17" xfId="0" applyFont="1" applyBorder="1" applyAlignment="1">
      <alignment horizontal="left"/>
    </xf>
    <xf numFmtId="175" fontId="22" fillId="0" borderId="17" xfId="0" applyNumberFormat="1" applyFont="1" applyBorder="1" applyAlignment="1">
      <alignment horizontal="center"/>
    </xf>
    <xf numFmtId="0" fontId="0" fillId="0" borderId="82" xfId="0" applyBorder="1" applyAlignment="1">
      <alignment/>
    </xf>
    <xf numFmtId="10" fontId="89" fillId="0" borderId="17" xfId="0" applyNumberFormat="1" applyFont="1" applyBorder="1" applyAlignment="1">
      <alignment horizontal="center"/>
    </xf>
    <xf numFmtId="1" fontId="22" fillId="0" borderId="17" xfId="0" applyNumberFormat="1" applyFont="1" applyBorder="1" applyAlignment="1">
      <alignment horizontal="center"/>
    </xf>
    <xf numFmtId="0" fontId="17" fillId="0" borderId="17" xfId="0" applyFont="1" applyBorder="1" applyAlignment="1">
      <alignment/>
    </xf>
    <xf numFmtId="175" fontId="17" fillId="0" borderId="17" xfId="0" applyNumberFormat="1" applyFont="1" applyBorder="1" applyAlignment="1">
      <alignment horizontal="center"/>
    </xf>
    <xf numFmtId="1" fontId="17" fillId="0" borderId="17" xfId="0" applyNumberFormat="1" applyFont="1" applyBorder="1" applyAlignment="1">
      <alignment horizontal="center"/>
    </xf>
    <xf numFmtId="0" fontId="84" fillId="0" borderId="17" xfId="0" applyFont="1" applyFill="1" applyBorder="1" applyAlignment="1">
      <alignment horizontal="center"/>
    </xf>
    <xf numFmtId="0" fontId="17" fillId="0" borderId="82" xfId="0" applyFont="1" applyFill="1" applyBorder="1" applyAlignment="1">
      <alignment horizontal="center"/>
    </xf>
    <xf numFmtId="0" fontId="3" fillId="0" borderId="41" xfId="0" applyFont="1" applyBorder="1" applyAlignment="1">
      <alignment horizontal="center" wrapText="1"/>
    </xf>
    <xf numFmtId="0" fontId="0" fillId="0" borderId="63" xfId="0" applyBorder="1" applyAlignment="1">
      <alignment horizontal="center"/>
    </xf>
    <xf numFmtId="0" fontId="2" fillId="0" borderId="62" xfId="0" applyFont="1" applyBorder="1" applyAlignment="1">
      <alignment horizontal="left"/>
    </xf>
    <xf numFmtId="172" fontId="17" fillId="0" borderId="0" xfId="0" applyNumberFormat="1" applyFont="1" applyBorder="1" applyAlignment="1">
      <alignment horizontal="center"/>
    </xf>
    <xf numFmtId="172" fontId="17" fillId="0" borderId="17" xfId="0" applyNumberFormat="1" applyFont="1" applyBorder="1" applyAlignment="1">
      <alignment horizontal="center"/>
    </xf>
    <xf numFmtId="172" fontId="17" fillId="0" borderId="48" xfId="0" applyNumberFormat="1" applyFont="1" applyBorder="1" applyAlignment="1">
      <alignment horizontal="center"/>
    </xf>
    <xf numFmtId="172" fontId="17" fillId="0" borderId="21" xfId="0" applyNumberFormat="1" applyFont="1" applyBorder="1" applyAlignment="1">
      <alignment horizontal="center"/>
    </xf>
    <xf numFmtId="175" fontId="0" fillId="0" borderId="0" xfId="0" applyNumberFormat="1" applyFont="1" applyAlignment="1">
      <alignment/>
    </xf>
    <xf numFmtId="1" fontId="57" fillId="0" borderId="0" xfId="57" applyNumberFormat="1">
      <alignment/>
      <protection/>
    </xf>
    <xf numFmtId="0" fontId="74" fillId="0" borderId="0" xfId="57" applyFont="1">
      <alignment/>
      <protection/>
    </xf>
    <xf numFmtId="191" fontId="0" fillId="0" borderId="0" xfId="0" applyNumberFormat="1" applyBorder="1" applyAlignment="1">
      <alignment horizontal="center"/>
    </xf>
    <xf numFmtId="191" fontId="0" fillId="0" borderId="36" xfId="0" applyNumberFormat="1" applyBorder="1" applyAlignment="1">
      <alignment horizontal="center"/>
    </xf>
    <xf numFmtId="1" fontId="0" fillId="0" borderId="0" xfId="0" applyNumberFormat="1" applyBorder="1" applyAlignment="1">
      <alignment horizontal="center"/>
    </xf>
    <xf numFmtId="1" fontId="0" fillId="0" borderId="36" xfId="0" applyNumberFormat="1" applyBorder="1" applyAlignment="1">
      <alignment horizontal="center"/>
    </xf>
    <xf numFmtId="188" fontId="80" fillId="0" borderId="21" xfId="0" applyNumberFormat="1" applyFont="1" applyBorder="1" applyAlignment="1">
      <alignment horizontal="center"/>
    </xf>
    <xf numFmtId="184" fontId="76" fillId="0" borderId="21" xfId="0" applyNumberFormat="1" applyFont="1" applyBorder="1" applyAlignment="1">
      <alignment horizontal="right"/>
    </xf>
    <xf numFmtId="183" fontId="77" fillId="0" borderId="0" xfId="0" applyNumberFormat="1" applyFont="1" applyBorder="1" applyAlignment="1">
      <alignment horizontal="right"/>
    </xf>
    <xf numFmtId="0" fontId="24" fillId="0" borderId="83" xfId="0" applyFont="1" applyBorder="1" applyAlignment="1">
      <alignment horizontal="left" vertical="center" wrapText="1"/>
    </xf>
    <xf numFmtId="0" fontId="24" fillId="0" borderId="84" xfId="0" applyFont="1" applyBorder="1" applyAlignment="1">
      <alignment horizontal="left" vertical="center" wrapText="1"/>
    </xf>
    <xf numFmtId="0" fontId="12" fillId="0" borderId="85" xfId="0" applyFont="1" applyBorder="1" applyAlignment="1">
      <alignment horizontal="center" wrapText="1"/>
    </xf>
    <xf numFmtId="0" fontId="12" fillId="0" borderId="10" xfId="0" applyFont="1" applyBorder="1" applyAlignment="1">
      <alignment horizontal="center" wrapText="1"/>
    </xf>
    <xf numFmtId="0" fontId="12" fillId="0" borderId="62" xfId="0" applyFont="1" applyBorder="1" applyAlignment="1">
      <alignment horizontal="center" wrapText="1"/>
    </xf>
    <xf numFmtId="0" fontId="24" fillId="0" borderId="0" xfId="0" applyFont="1" applyBorder="1" applyAlignment="1">
      <alignment horizontal="left" vertical="top" wrapText="1"/>
    </xf>
    <xf numFmtId="0" fontId="24" fillId="0" borderId="36" xfId="0" applyFont="1" applyBorder="1" applyAlignment="1">
      <alignment horizontal="left" vertical="top" wrapText="1"/>
    </xf>
    <xf numFmtId="0" fontId="24" fillId="0" borderId="48" xfId="0" applyFont="1" applyBorder="1" applyAlignment="1">
      <alignment horizontal="left" vertical="center" wrapText="1"/>
    </xf>
    <xf numFmtId="0" fontId="24" fillId="0" borderId="73" xfId="0" applyFont="1" applyBorder="1" applyAlignment="1">
      <alignment horizontal="left" vertical="center" wrapText="1"/>
    </xf>
    <xf numFmtId="0" fontId="3" fillId="0" borderId="0" xfId="0" applyFont="1" applyAlignment="1">
      <alignment horizontal="center"/>
    </xf>
    <xf numFmtId="0" fontId="3" fillId="0" borderId="25" xfId="0" applyFont="1" applyBorder="1" applyAlignment="1">
      <alignment horizontal="center"/>
    </xf>
    <xf numFmtId="0" fontId="21"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A2" sqref="A2"/>
    </sheetView>
  </sheetViews>
  <sheetFormatPr defaultColWidth="9.140625" defaultRowHeight="12.75"/>
  <sheetData>
    <row r="1" ht="12.75">
      <c r="A1" t="s">
        <v>747</v>
      </c>
    </row>
    <row r="3" ht="12.75">
      <c r="A3" s="37" t="s">
        <v>343</v>
      </c>
    </row>
    <row r="4" ht="12.75">
      <c r="A4" s="37"/>
    </row>
    <row r="5" ht="12.75">
      <c r="A5" s="118" t="s">
        <v>711</v>
      </c>
    </row>
    <row r="7" ht="12.75">
      <c r="A7" s="37" t="s">
        <v>344</v>
      </c>
    </row>
    <row r="9" ht="12.75">
      <c r="A9" s="37" t="s">
        <v>345</v>
      </c>
    </row>
    <row r="10" ht="12.75">
      <c r="A10" s="37" t="s">
        <v>346</v>
      </c>
    </row>
    <row r="11" ht="12.75">
      <c r="B11" s="37" t="s">
        <v>347</v>
      </c>
    </row>
    <row r="12" ht="12.75">
      <c r="B12" s="37" t="s">
        <v>348</v>
      </c>
    </row>
    <row r="13" ht="12.75">
      <c r="A13" s="37" t="s">
        <v>349</v>
      </c>
    </row>
    <row r="14" ht="12.75">
      <c r="B14" s="37" t="s">
        <v>351</v>
      </c>
    </row>
    <row r="15" ht="12.75">
      <c r="B15" s="37" t="s">
        <v>350</v>
      </c>
    </row>
    <row r="16" ht="12.75">
      <c r="A16" t="s">
        <v>709</v>
      </c>
    </row>
    <row r="18" ht="12.75">
      <c r="A18" t="s">
        <v>710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4"/>
  <sheetViews>
    <sheetView showGridLines="0" zoomScalePageLayoutView="0" workbookViewId="0" topLeftCell="A1">
      <selection activeCell="D25" sqref="D25"/>
    </sheetView>
  </sheetViews>
  <sheetFormatPr defaultColWidth="9.140625" defaultRowHeight="12.75"/>
  <cols>
    <col min="1" max="1" width="34.140625" style="0" customWidth="1"/>
    <col min="2" max="2" width="8.421875" style="0" bestFit="1" customWidth="1"/>
    <col min="3" max="3" width="10.00390625" style="0" customWidth="1"/>
    <col min="4" max="4" width="22.00390625" style="0" customWidth="1"/>
    <col min="5" max="5" width="5.28125" style="0" customWidth="1"/>
    <col min="6" max="6" width="13.7109375" style="0" customWidth="1"/>
    <col min="7" max="7" width="27.421875" style="0" customWidth="1"/>
    <col min="9" max="9" width="16.00390625" style="0" customWidth="1"/>
    <col min="10" max="10" width="44.57421875" style="0" customWidth="1"/>
    <col min="13" max="13" width="17.8515625" style="0" customWidth="1"/>
  </cols>
  <sheetData>
    <row r="1" spans="1:7" ht="24" thickTop="1">
      <c r="A1" s="398" t="s">
        <v>730</v>
      </c>
      <c r="B1" s="139"/>
      <c r="C1" s="140"/>
      <c r="D1" s="140"/>
      <c r="E1" s="140"/>
      <c r="F1" s="140"/>
      <c r="G1" s="141" t="s">
        <v>291</v>
      </c>
    </row>
    <row r="2" spans="1:7" ht="15.75">
      <c r="A2" s="142"/>
      <c r="B2" s="155"/>
      <c r="C2" s="124"/>
      <c r="D2" s="124"/>
      <c r="E2" s="124"/>
      <c r="F2" s="124"/>
      <c r="G2" s="143"/>
    </row>
    <row r="3" spans="1:7" ht="15.75" thickBot="1">
      <c r="A3" s="156" t="s">
        <v>731</v>
      </c>
      <c r="B3" s="206" t="s">
        <v>658</v>
      </c>
      <c r="C3" s="124"/>
      <c r="D3" s="124"/>
      <c r="E3" s="124"/>
      <c r="F3" s="124"/>
      <c r="G3" s="143"/>
    </row>
    <row r="4" spans="1:13" ht="14.25">
      <c r="A4" s="145" t="s">
        <v>265</v>
      </c>
      <c r="B4" s="120"/>
      <c r="C4" s="159">
        <v>545000</v>
      </c>
      <c r="D4" s="120" t="s">
        <v>266</v>
      </c>
      <c r="E4" s="196" t="s">
        <v>271</v>
      </c>
      <c r="F4" s="197">
        <f>C4*250</f>
        <v>136250000</v>
      </c>
      <c r="G4" s="143" t="s">
        <v>270</v>
      </c>
      <c r="J4" s="16" t="s">
        <v>275</v>
      </c>
      <c r="K4" s="1"/>
      <c r="L4" s="40" t="s">
        <v>276</v>
      </c>
      <c r="M4" s="41" t="s">
        <v>277</v>
      </c>
    </row>
    <row r="5" spans="1:13" ht="18.75" customHeight="1">
      <c r="A5" s="145" t="s">
        <v>264</v>
      </c>
      <c r="B5" s="120"/>
      <c r="C5" s="124"/>
      <c r="D5" s="124"/>
      <c r="E5" s="124"/>
      <c r="F5" s="124"/>
      <c r="G5" s="143"/>
      <c r="J5" s="17" t="s">
        <v>715</v>
      </c>
      <c r="K5" s="124">
        <v>2</v>
      </c>
      <c r="L5" s="204">
        <f ca="1">RANDBETWEEN(0,2)+RAND()+0.5</f>
        <v>2.9477206384963517</v>
      </c>
      <c r="M5" s="50">
        <v>0.6</v>
      </c>
    </row>
    <row r="6" spans="1:13" ht="12.75">
      <c r="A6" s="142"/>
      <c r="B6" s="124"/>
      <c r="C6" s="124"/>
      <c r="D6" s="124"/>
      <c r="E6" s="124"/>
      <c r="F6" s="124"/>
      <c r="G6" s="143"/>
      <c r="J6" s="17" t="s">
        <v>716</v>
      </c>
      <c r="K6" s="124"/>
      <c r="L6" s="204">
        <f ca="1">RANDBETWEEN(2,5)+RAND()</f>
        <v>2.9087337490982206</v>
      </c>
      <c r="M6" s="50">
        <v>0.55</v>
      </c>
    </row>
    <row r="7" spans="1:13" ht="12.75">
      <c r="A7" s="145" t="s">
        <v>267</v>
      </c>
      <c r="B7" s="205" t="s">
        <v>729</v>
      </c>
      <c r="C7" s="160">
        <f>C4*(IF(K5=1,L5,IF(K5=2,L6,IF(K5=3,L7,L8))))</f>
        <v>1585259.8932585302</v>
      </c>
      <c r="D7" s="120" t="s">
        <v>338</v>
      </c>
      <c r="E7" s="196" t="s">
        <v>271</v>
      </c>
      <c r="F7" s="436">
        <f>$F$4/C7</f>
        <v>85.94805216445342</v>
      </c>
      <c r="G7" s="437"/>
      <c r="J7" s="17" t="s">
        <v>732</v>
      </c>
      <c r="K7" s="124"/>
      <c r="L7" s="204">
        <f ca="1">RANDBETWEEN(5,10)+RAND()</f>
        <v>8.206209332489328</v>
      </c>
      <c r="M7" s="50">
        <v>0.5</v>
      </c>
    </row>
    <row r="8" spans="1:13" ht="12.75">
      <c r="A8" s="142"/>
      <c r="B8" s="205" t="s">
        <v>717</v>
      </c>
      <c r="C8" s="159">
        <v>1400000</v>
      </c>
      <c r="D8" s="120" t="s">
        <v>339</v>
      </c>
      <c r="E8" s="196" t="s">
        <v>271</v>
      </c>
      <c r="F8" s="438" t="str">
        <f>ROUND(C8/C4,1)&amp;" pop/sq. km; "&amp;ROUND($F$4/C8,0)&amp;" acres/person"</f>
        <v>2.6 pop/sq. km; 97 acres/person</v>
      </c>
      <c r="G8" s="439"/>
      <c r="J8" s="17" t="s">
        <v>718</v>
      </c>
      <c r="K8" s="124"/>
      <c r="L8" s="204">
        <f ca="1">RANDBETWEEN(11,20)+RAND()</f>
        <v>15.136322267479361</v>
      </c>
      <c r="M8" s="50">
        <v>0.45</v>
      </c>
    </row>
    <row r="9" spans="1:13" ht="13.5" thickBot="1">
      <c r="A9" s="142"/>
      <c r="B9" s="124"/>
      <c r="C9" s="124"/>
      <c r="D9" s="124"/>
      <c r="E9" s="124"/>
      <c r="F9" s="124"/>
      <c r="G9" s="143"/>
      <c r="J9" s="39" t="s">
        <v>719</v>
      </c>
      <c r="K9" s="32"/>
      <c r="L9" s="49">
        <f ca="1">RANDBETWEEN(25,37)+RAND()</f>
        <v>31.302659425232154</v>
      </c>
      <c r="M9" s="51">
        <v>0.4</v>
      </c>
    </row>
    <row r="10" spans="1:7" ht="12.75">
      <c r="A10" s="199" t="s">
        <v>340</v>
      </c>
      <c r="B10" s="124"/>
      <c r="C10" s="124"/>
      <c r="D10" s="124"/>
      <c r="E10" s="124"/>
      <c r="F10" s="124"/>
      <c r="G10" s="143"/>
    </row>
    <row r="11" spans="1:7" ht="12.75">
      <c r="A11" s="142"/>
      <c r="B11" s="124"/>
      <c r="C11" s="124"/>
      <c r="D11" s="124"/>
      <c r="E11" s="124"/>
      <c r="F11" s="124"/>
      <c r="G11" s="143"/>
    </row>
    <row r="12" spans="1:7" ht="12.75">
      <c r="A12" s="145"/>
      <c r="B12" s="120"/>
      <c r="C12" s="186">
        <v>5</v>
      </c>
      <c r="D12" s="120" t="s">
        <v>295</v>
      </c>
      <c r="E12" s="196" t="s">
        <v>271</v>
      </c>
      <c r="F12" s="197">
        <f>C8/C12</f>
        <v>280000</v>
      </c>
      <c r="G12" s="166" t="s">
        <v>296</v>
      </c>
    </row>
    <row r="13" spans="1:7" ht="12.75">
      <c r="A13" s="142"/>
      <c r="B13" s="124"/>
      <c r="C13" s="124"/>
      <c r="D13" s="124"/>
      <c r="E13" s="124"/>
      <c r="F13" s="124"/>
      <c r="G13" s="143"/>
    </row>
    <row r="14" spans="1:7" ht="12.75">
      <c r="A14" s="145" t="s">
        <v>1047</v>
      </c>
      <c r="B14" s="200">
        <v>0.35</v>
      </c>
      <c r="C14" s="197">
        <f>B14*C8</f>
        <v>489999.99999999994</v>
      </c>
      <c r="D14" s="120" t="s">
        <v>268</v>
      </c>
      <c r="E14" s="201" t="s">
        <v>271</v>
      </c>
      <c r="F14" s="197">
        <f>C14/C12</f>
        <v>97999.99999999999</v>
      </c>
      <c r="G14" s="166" t="s">
        <v>296</v>
      </c>
    </row>
    <row r="15" spans="1:7" ht="12.75">
      <c r="A15" s="145" t="s">
        <v>281</v>
      </c>
      <c r="B15" s="200">
        <v>0.65</v>
      </c>
      <c r="C15" s="197">
        <f>C8-C14</f>
        <v>910000</v>
      </c>
      <c r="D15" s="120" t="s">
        <v>268</v>
      </c>
      <c r="E15" s="201" t="s">
        <v>271</v>
      </c>
      <c r="F15" s="197">
        <f>F12-F14</f>
        <v>182000</v>
      </c>
      <c r="G15" s="166" t="s">
        <v>296</v>
      </c>
    </row>
    <row r="16" spans="1:11" ht="12.75">
      <c r="A16" s="142"/>
      <c r="B16" s="124"/>
      <c r="C16" s="124"/>
      <c r="D16" s="124"/>
      <c r="E16" s="124"/>
      <c r="F16" s="124"/>
      <c r="G16" s="143"/>
      <c r="K16" s="37" t="s">
        <v>953</v>
      </c>
    </row>
    <row r="17" spans="1:13" ht="12.75">
      <c r="A17" s="145" t="s">
        <v>280</v>
      </c>
      <c r="B17" s="202" t="s">
        <v>70</v>
      </c>
      <c r="C17" s="124"/>
      <c r="D17" s="198"/>
      <c r="E17" s="120"/>
      <c r="F17" s="197"/>
      <c r="G17" s="166"/>
      <c r="J17" s="387" t="s">
        <v>1</v>
      </c>
      <c r="K17" s="5" t="s">
        <v>2</v>
      </c>
      <c r="L17" s="5" t="s">
        <v>3</v>
      </c>
      <c r="M17" s="6" t="s">
        <v>4</v>
      </c>
    </row>
    <row r="18" spans="1:13" ht="12.75">
      <c r="A18" s="182" t="s">
        <v>337</v>
      </c>
      <c r="B18" s="197">
        <f>IF(F18&gt;0,1,0)*IF($C$33&gt;K18,10+((F18-M$33)/(($C$33+K18)/2)),SUM(N24:N33))</f>
        <v>1</v>
      </c>
      <c r="C18" s="197">
        <f>IF(F18=0,0,F18/B18)</f>
        <v>25200</v>
      </c>
      <c r="D18" s="120" t="s">
        <v>733</v>
      </c>
      <c r="E18" s="196" t="s">
        <v>271</v>
      </c>
      <c r="F18" s="197">
        <f ca="1">IF($K$24&lt;K18,0,1)*(IF($C$33&lt;K18,M$33,MAX(M$33,RANDBETWEEN(25,30)*$C$14/100)))</f>
        <v>25200</v>
      </c>
      <c r="G18" s="166" t="s">
        <v>738</v>
      </c>
      <c r="H18" s="46">
        <f>F18/$C$14</f>
        <v>0.051428571428571435</v>
      </c>
      <c r="J18" s="388" t="s">
        <v>337</v>
      </c>
      <c r="K18">
        <f>M19+1</f>
        <v>25001</v>
      </c>
      <c r="L18">
        <v>500000</v>
      </c>
      <c r="M18" s="8">
        <f>K18+L18</f>
        <v>525001</v>
      </c>
    </row>
    <row r="19" spans="1:13" ht="12.75">
      <c r="A19" s="182" t="s">
        <v>278</v>
      </c>
      <c r="B19" s="197">
        <f>IF(F19&gt;0,1,0)*IF($C$33&gt;M19,F19/((K19+M19)/2),SUM(P$24:P$33)+IF($C$33&lt;K19,0,(F19-O$33)/(($C$33+K19)/2)))</f>
        <v>8</v>
      </c>
      <c r="C19" s="197">
        <f>IF(F19=0,0,F19/B19)</f>
        <v>10745.875</v>
      </c>
      <c r="D19" s="120" t="s">
        <v>734</v>
      </c>
      <c r="E19" s="196" t="s">
        <v>271</v>
      </c>
      <c r="F19" s="197">
        <f ca="1">IF($K$24&lt;K19,0,1)*(IF($C$33&lt;K19,O$33,MAX(O$33,RANDBETWEEN(30,35)*($C$14-F18)/100)))</f>
        <v>85967</v>
      </c>
      <c r="G19" s="166" t="s">
        <v>739</v>
      </c>
      <c r="H19" s="46">
        <f>F19/$C$14</f>
        <v>0.17544285714285715</v>
      </c>
      <c r="J19" s="388" t="s">
        <v>8</v>
      </c>
      <c r="K19">
        <f>M20+1</f>
        <v>5001</v>
      </c>
      <c r="L19">
        <v>19999</v>
      </c>
      <c r="M19" s="8">
        <f>K19+L19</f>
        <v>25000</v>
      </c>
    </row>
    <row r="20" spans="1:13" ht="12.75">
      <c r="A20" s="182" t="s">
        <v>279</v>
      </c>
      <c r="B20" s="197">
        <f>IF(F20&gt;0,1,0)*IF($C$33&gt;M20,F20/((K20+M20)/2),SUM(R$24:R$33)+IF($C$33&lt;K20,0,(F20-Q$33)/(($C$33+K20)/2)))</f>
        <v>64.05206329377471</v>
      </c>
      <c r="C20" s="197">
        <f>IF(F20=0,0,F20/B20)</f>
        <v>2424.9262554996544</v>
      </c>
      <c r="D20" s="120" t="s">
        <v>735</v>
      </c>
      <c r="E20" s="196" t="s">
        <v>271</v>
      </c>
      <c r="F20" s="197">
        <f ca="1">IF($K$24&lt;K20,0,1)*(IF($C$33&lt;K20,Q$33,MAX(Q$33,RANDBETWEEN(40,50)*($C$14-F19-F18)/100)))</f>
        <v>155321.52999999997</v>
      </c>
      <c r="G20" s="166" t="s">
        <v>740</v>
      </c>
      <c r="H20" s="46">
        <f>F20/$C$14</f>
        <v>0.3169827142857143</v>
      </c>
      <c r="J20" s="388" t="s">
        <v>7</v>
      </c>
      <c r="K20">
        <f>M21+1</f>
        <v>901</v>
      </c>
      <c r="L20">
        <v>4099</v>
      </c>
      <c r="M20" s="8">
        <f>K20+L20</f>
        <v>5000</v>
      </c>
    </row>
    <row r="21" spans="1:13" ht="12.75">
      <c r="A21" s="182" t="s">
        <v>282</v>
      </c>
      <c r="B21" s="197">
        <f>IF(F21&gt;0,1,0)*IF($C$33&gt;M21,F21/((K21+M21)/2),SUM(T$24:T$33)+IF($C$33&lt;K21,0,(F21-S$33)/(($C$33+K21)/2)))</f>
        <v>363.1380503655564</v>
      </c>
      <c r="C21" s="197">
        <f>IF(F21=0,0,F21/B21)</f>
        <v>615.5</v>
      </c>
      <c r="D21" s="120" t="s">
        <v>736</v>
      </c>
      <c r="E21" s="196" t="s">
        <v>271</v>
      </c>
      <c r="F21" s="197">
        <f>C14-F18-F19-F20</f>
        <v>223511.46999999997</v>
      </c>
      <c r="G21" s="166" t="s">
        <v>741</v>
      </c>
      <c r="H21" s="46">
        <f>F21/$C$14</f>
        <v>0.45614585714285716</v>
      </c>
      <c r="J21" s="388" t="s">
        <v>6</v>
      </c>
      <c r="K21">
        <f>M22+1</f>
        <v>331</v>
      </c>
      <c r="L21">
        <v>569</v>
      </c>
      <c r="M21" s="8">
        <f>K21+L21</f>
        <v>900</v>
      </c>
    </row>
    <row r="22" spans="1:13" ht="12.75">
      <c r="A22" s="182" t="s">
        <v>1015</v>
      </c>
      <c r="B22" s="197">
        <f>IF(F22&gt;0,1,0)*IF($C$33&gt;M22,F22/((K22+M22)/2),SUM(V$24:V$33)+IF($C$33&lt;K22,0,(F22-U$33)/(($C$33+K22)/2)))</f>
        <v>4789.473684210527</v>
      </c>
      <c r="C22" s="197">
        <f>IF(F22=0,0,F22/B22)</f>
        <v>189.99999999999997</v>
      </c>
      <c r="D22" s="120" t="s">
        <v>737</v>
      </c>
      <c r="E22" s="196" t="s">
        <v>271</v>
      </c>
      <c r="F22" s="197">
        <f>C15</f>
        <v>910000</v>
      </c>
      <c r="G22" s="166" t="s">
        <v>1016</v>
      </c>
      <c r="H22" s="46">
        <f>F22/$C$15</f>
        <v>1</v>
      </c>
      <c r="J22" s="389" t="s">
        <v>5</v>
      </c>
      <c r="K22" s="9">
        <v>50</v>
      </c>
      <c r="L22" s="9">
        <v>280</v>
      </c>
      <c r="M22" s="11">
        <f>K22+L22</f>
        <v>330</v>
      </c>
    </row>
    <row r="23" spans="1:22" ht="12.75">
      <c r="A23" s="142"/>
      <c r="B23" s="124"/>
      <c r="C23" s="124"/>
      <c r="D23" s="124"/>
      <c r="E23" s="124"/>
      <c r="F23" s="124"/>
      <c r="G23" s="143"/>
      <c r="M23" s="4" t="s">
        <v>337</v>
      </c>
      <c r="N23" s="3"/>
      <c r="O23" s="5" t="s">
        <v>8</v>
      </c>
      <c r="P23" s="3"/>
      <c r="Q23" s="5" t="s">
        <v>7</v>
      </c>
      <c r="R23" s="3"/>
      <c r="S23" s="5" t="s">
        <v>6</v>
      </c>
      <c r="T23" s="3"/>
      <c r="U23" s="5" t="s">
        <v>5</v>
      </c>
      <c r="V23" s="59"/>
    </row>
    <row r="24" spans="1:22" ht="12.75">
      <c r="A24" s="145" t="s">
        <v>269</v>
      </c>
      <c r="B24" s="120"/>
      <c r="C24" s="197">
        <f>IF(K24&gt;M18,M18,K24)</f>
        <v>25200</v>
      </c>
      <c r="D24" s="120" t="str">
        <f>"people (HH= "&amp;TRUNC(K24/$C$12)&amp;")"</f>
        <v>people (HH= 5040)</v>
      </c>
      <c r="E24" s="196" t="s">
        <v>271</v>
      </c>
      <c r="F24" s="124" t="str">
        <f>IF(K24&gt;$M$19,"Metropolis",IF(K24&gt;$M$20,"City",IF(K24&gt;$M$21,"Town",IF(K24&gt;$M$22,"Village","Hamlet"))))</f>
        <v>Metropolis</v>
      </c>
      <c r="G24" s="203"/>
      <c r="J24" s="62" t="s">
        <v>341</v>
      </c>
      <c r="K24" s="47">
        <f ca="1">INT((C14^0.5*RANDBETWEEN(25,40)))</f>
        <v>25200</v>
      </c>
      <c r="L24" s="47">
        <f>K24</f>
        <v>25200</v>
      </c>
      <c r="M24" s="54">
        <f>IF($F24="Metropolis",1,0)*$K24</f>
        <v>25200</v>
      </c>
      <c r="N24" s="45">
        <f>IF($F24="Metropolis",1,0)*IF(C24&gt;0,1,0)</f>
        <v>1</v>
      </c>
      <c r="O24" s="45">
        <f>IF($F24="City",1,0)*K24</f>
        <v>0</v>
      </c>
      <c r="P24" s="45">
        <f>IF($F24="City",1,0)*IF(C24&gt;0,1,0)</f>
        <v>0</v>
      </c>
      <c r="Q24" s="45">
        <f>IF($F24="Town",1,0)*K24</f>
        <v>0</v>
      </c>
      <c r="R24" s="45">
        <f>IF($F24="Town",1,0)*IF(C24&gt;0,1,0)</f>
        <v>0</v>
      </c>
      <c r="S24" s="45">
        <f>IF($F24="Village",1,0)*K24</f>
        <v>0</v>
      </c>
      <c r="T24" s="45">
        <f>IF($F24="Village",1,0)*IF(C24&gt;0,1,0)</f>
        <v>0</v>
      </c>
      <c r="U24" s="45">
        <f>IF($F24="Hamlet",1,0)*K24</f>
        <v>0</v>
      </c>
      <c r="V24" s="55">
        <f>IF($F24="Hamlet",1,0)*IF(C24&gt;0,1,0)</f>
        <v>0</v>
      </c>
    </row>
    <row r="25" spans="1:22" ht="12.75">
      <c r="A25" s="145" t="s">
        <v>720</v>
      </c>
      <c r="B25" s="120"/>
      <c r="C25" s="197">
        <f aca="true" t="shared" si="0" ref="C25:C33">IF(IF(L25&gt;$C$14,$C$14-L24,K25)&lt;0,0,IF(L25&gt;$C$14,$C$14-L24,K25))</f>
        <v>17892</v>
      </c>
      <c r="D25" s="120" t="str">
        <f aca="true" t="shared" si="1" ref="D25:D33">"people (HH= "&amp;TRUNC(C25/$C$12)&amp;")"</f>
        <v>people (HH= 3578)</v>
      </c>
      <c r="E25" s="196" t="s">
        <v>271</v>
      </c>
      <c r="F25" s="124" t="str">
        <f aca="true" t="shared" si="2" ref="F25:F33">IF(C25&gt;$M$19,"Metropolis",IF(C25&gt;$M$20,"City",IF(C25&gt;$M$21,"Town",IF(C25&gt;$M$22,"Village","Hamlet"))))</f>
        <v>City</v>
      </c>
      <c r="G25" s="166"/>
      <c r="J25" s="52" t="s">
        <v>352</v>
      </c>
      <c r="K25" s="47">
        <f ca="1">INT(K24*RANDBETWEEN(70,90)/100)</f>
        <v>17892</v>
      </c>
      <c r="L25" s="47">
        <f>K25+K24</f>
        <v>43092</v>
      </c>
      <c r="M25" s="54">
        <f aca="true" t="shared" si="3" ref="M25:M33">IF($F25="Metropolis",1,0)*$C25+M24</f>
        <v>25200</v>
      </c>
      <c r="N25" s="45">
        <f aca="true" t="shared" si="4" ref="N25:N33">IF($F25="Metropolis",1,0)*IF(C25&gt;0,1,0)</f>
        <v>0</v>
      </c>
      <c r="O25" s="45">
        <f aca="true" t="shared" si="5" ref="O25:O33">IF($F25="City",1,0)*C25+O24</f>
        <v>17892</v>
      </c>
      <c r="P25" s="45">
        <f aca="true" t="shared" si="6" ref="P25:P33">IF($F25="City",1,0)*IF(C25&gt;0,1,0)</f>
        <v>1</v>
      </c>
      <c r="Q25" s="45">
        <f aca="true" t="shared" si="7" ref="Q25:Q33">IF($F25="Town",1,0)*C25+Q24</f>
        <v>0</v>
      </c>
      <c r="R25" s="45">
        <f aca="true" t="shared" si="8" ref="R25:R33">IF($F25="Town",1,0)*IF(C25&gt;0,1,0)</f>
        <v>0</v>
      </c>
      <c r="S25" s="45">
        <f aca="true" t="shared" si="9" ref="S25:S33">IF($F25="Village",1,0)*C25+S24</f>
        <v>0</v>
      </c>
      <c r="T25" s="45">
        <f aca="true" t="shared" si="10" ref="T25:T33">IF($F25="Village",1,0)*IF(C25&gt;0,1,0)</f>
        <v>0</v>
      </c>
      <c r="U25" s="45">
        <f aca="true" t="shared" si="11" ref="U25:U33">IF($F25="Hamlet",1,0)*C25+U24</f>
        <v>0</v>
      </c>
      <c r="V25" s="55">
        <f aca="true" t="shared" si="12" ref="V25:V33">IF($F25="Hamlet",1,0)*IF(C25&gt;0,1,0)</f>
        <v>0</v>
      </c>
    </row>
    <row r="26" spans="1:22" ht="12.75">
      <c r="A26" s="145" t="s">
        <v>721</v>
      </c>
      <c r="B26" s="120"/>
      <c r="C26" s="197">
        <f t="shared" si="0"/>
        <v>15923</v>
      </c>
      <c r="D26" s="120" t="str">
        <f t="shared" si="1"/>
        <v>people (HH= 3184)</v>
      </c>
      <c r="E26" s="196" t="s">
        <v>271</v>
      </c>
      <c r="F26" s="124" t="str">
        <f t="shared" si="2"/>
        <v>City</v>
      </c>
      <c r="G26" s="166"/>
      <c r="J26" s="52" t="s">
        <v>353</v>
      </c>
      <c r="K26" s="47">
        <f aca="true" ca="1" t="shared" si="13" ref="K26:K33">INT(K25*RANDBETWEEN(70,90)/100)</f>
        <v>15923</v>
      </c>
      <c r="L26" s="47">
        <f>L25+K26</f>
        <v>59015</v>
      </c>
      <c r="M26" s="54">
        <f t="shared" si="3"/>
        <v>25200</v>
      </c>
      <c r="N26" s="45">
        <f t="shared" si="4"/>
        <v>0</v>
      </c>
      <c r="O26" s="45">
        <f t="shared" si="5"/>
        <v>33815</v>
      </c>
      <c r="P26" s="45">
        <f t="shared" si="6"/>
        <v>1</v>
      </c>
      <c r="Q26" s="45">
        <f t="shared" si="7"/>
        <v>0</v>
      </c>
      <c r="R26" s="45">
        <f t="shared" si="8"/>
        <v>0</v>
      </c>
      <c r="S26" s="45">
        <f t="shared" si="9"/>
        <v>0</v>
      </c>
      <c r="T26" s="45">
        <f t="shared" si="10"/>
        <v>0</v>
      </c>
      <c r="U26" s="45">
        <f t="shared" si="11"/>
        <v>0</v>
      </c>
      <c r="V26" s="55">
        <f t="shared" si="12"/>
        <v>0</v>
      </c>
    </row>
    <row r="27" spans="1:22" ht="12.75">
      <c r="A27" s="145" t="s">
        <v>722</v>
      </c>
      <c r="B27" s="120"/>
      <c r="C27" s="197">
        <f t="shared" si="0"/>
        <v>13216</v>
      </c>
      <c r="D27" s="120" t="str">
        <f t="shared" si="1"/>
        <v>people (HH= 2643)</v>
      </c>
      <c r="E27" s="196" t="s">
        <v>271</v>
      </c>
      <c r="F27" s="124" t="str">
        <f t="shared" si="2"/>
        <v>City</v>
      </c>
      <c r="G27" s="166"/>
      <c r="J27" s="52" t="s">
        <v>354</v>
      </c>
      <c r="K27" s="47">
        <f ca="1" t="shared" si="13"/>
        <v>13216</v>
      </c>
      <c r="L27" s="47">
        <f aca="true" t="shared" si="14" ref="L27:L33">L26+K27</f>
        <v>72231</v>
      </c>
      <c r="M27" s="54">
        <f t="shared" si="3"/>
        <v>25200</v>
      </c>
      <c r="N27" s="45">
        <f t="shared" si="4"/>
        <v>0</v>
      </c>
      <c r="O27" s="45">
        <f t="shared" si="5"/>
        <v>47031</v>
      </c>
      <c r="P27" s="45">
        <f t="shared" si="6"/>
        <v>1</v>
      </c>
      <c r="Q27" s="45">
        <f t="shared" si="7"/>
        <v>0</v>
      </c>
      <c r="R27" s="45">
        <f t="shared" si="8"/>
        <v>0</v>
      </c>
      <c r="S27" s="45">
        <f t="shared" si="9"/>
        <v>0</v>
      </c>
      <c r="T27" s="45">
        <f t="shared" si="10"/>
        <v>0</v>
      </c>
      <c r="U27" s="45">
        <f t="shared" si="11"/>
        <v>0</v>
      </c>
      <c r="V27" s="55">
        <f t="shared" si="12"/>
        <v>0</v>
      </c>
    </row>
    <row r="28" spans="1:22" ht="12.75">
      <c r="A28" s="145" t="s">
        <v>723</v>
      </c>
      <c r="B28" s="120"/>
      <c r="C28" s="197">
        <f t="shared" si="0"/>
        <v>10969</v>
      </c>
      <c r="D28" s="120" t="str">
        <f t="shared" si="1"/>
        <v>people (HH= 2193)</v>
      </c>
      <c r="E28" s="196" t="s">
        <v>271</v>
      </c>
      <c r="F28" s="124" t="str">
        <f t="shared" si="2"/>
        <v>City</v>
      </c>
      <c r="G28" s="166"/>
      <c r="J28" s="52" t="s">
        <v>355</v>
      </c>
      <c r="K28" s="47">
        <f ca="1" t="shared" si="13"/>
        <v>10969</v>
      </c>
      <c r="L28" s="47">
        <f t="shared" si="14"/>
        <v>83200</v>
      </c>
      <c r="M28" s="54">
        <f t="shared" si="3"/>
        <v>25200</v>
      </c>
      <c r="N28" s="45">
        <f t="shared" si="4"/>
        <v>0</v>
      </c>
      <c r="O28" s="45">
        <f t="shared" si="5"/>
        <v>58000</v>
      </c>
      <c r="P28" s="45">
        <f t="shared" si="6"/>
        <v>1</v>
      </c>
      <c r="Q28" s="45">
        <f t="shared" si="7"/>
        <v>0</v>
      </c>
      <c r="R28" s="45">
        <f t="shared" si="8"/>
        <v>0</v>
      </c>
      <c r="S28" s="45">
        <f t="shared" si="9"/>
        <v>0</v>
      </c>
      <c r="T28" s="45">
        <f t="shared" si="10"/>
        <v>0</v>
      </c>
      <c r="U28" s="45">
        <f t="shared" si="11"/>
        <v>0</v>
      </c>
      <c r="V28" s="55">
        <f t="shared" si="12"/>
        <v>0</v>
      </c>
    </row>
    <row r="29" spans="1:22" ht="12.75">
      <c r="A29" s="145" t="s">
        <v>724</v>
      </c>
      <c r="B29" s="120"/>
      <c r="C29" s="197">
        <f t="shared" si="0"/>
        <v>9104</v>
      </c>
      <c r="D29" s="120" t="str">
        <f t="shared" si="1"/>
        <v>people (HH= 1820)</v>
      </c>
      <c r="E29" s="196" t="s">
        <v>271</v>
      </c>
      <c r="F29" s="124" t="str">
        <f t="shared" si="2"/>
        <v>City</v>
      </c>
      <c r="G29" s="166"/>
      <c r="J29" s="52" t="s">
        <v>356</v>
      </c>
      <c r="K29" s="47">
        <f ca="1" t="shared" si="13"/>
        <v>9104</v>
      </c>
      <c r="L29" s="47">
        <f t="shared" si="14"/>
        <v>92304</v>
      </c>
      <c r="M29" s="54">
        <f t="shared" si="3"/>
        <v>25200</v>
      </c>
      <c r="N29" s="45">
        <f t="shared" si="4"/>
        <v>0</v>
      </c>
      <c r="O29" s="45">
        <f t="shared" si="5"/>
        <v>67104</v>
      </c>
      <c r="P29" s="45">
        <f t="shared" si="6"/>
        <v>1</v>
      </c>
      <c r="Q29" s="45">
        <f t="shared" si="7"/>
        <v>0</v>
      </c>
      <c r="R29" s="45">
        <f t="shared" si="8"/>
        <v>0</v>
      </c>
      <c r="S29" s="45">
        <f t="shared" si="9"/>
        <v>0</v>
      </c>
      <c r="T29" s="45">
        <f t="shared" si="10"/>
        <v>0</v>
      </c>
      <c r="U29" s="45">
        <f t="shared" si="11"/>
        <v>0</v>
      </c>
      <c r="V29" s="55">
        <f t="shared" si="12"/>
        <v>0</v>
      </c>
    </row>
    <row r="30" spans="1:22" ht="12.75">
      <c r="A30" s="145" t="s">
        <v>725</v>
      </c>
      <c r="B30" s="120"/>
      <c r="C30" s="197">
        <f t="shared" si="0"/>
        <v>7465</v>
      </c>
      <c r="D30" s="120" t="str">
        <f t="shared" si="1"/>
        <v>people (HH= 1493)</v>
      </c>
      <c r="E30" s="196" t="s">
        <v>271</v>
      </c>
      <c r="F30" s="124" t="str">
        <f t="shared" si="2"/>
        <v>City</v>
      </c>
      <c r="G30" s="166"/>
      <c r="J30" s="52" t="s">
        <v>357</v>
      </c>
      <c r="K30" s="47">
        <f ca="1" t="shared" si="13"/>
        <v>7465</v>
      </c>
      <c r="L30" s="47">
        <f t="shared" si="14"/>
        <v>99769</v>
      </c>
      <c r="M30" s="54">
        <f t="shared" si="3"/>
        <v>25200</v>
      </c>
      <c r="N30" s="45">
        <f t="shared" si="4"/>
        <v>0</v>
      </c>
      <c r="O30" s="45">
        <f t="shared" si="5"/>
        <v>74569</v>
      </c>
      <c r="P30" s="45">
        <f t="shared" si="6"/>
        <v>1</v>
      </c>
      <c r="Q30" s="45">
        <f t="shared" si="7"/>
        <v>0</v>
      </c>
      <c r="R30" s="45">
        <f t="shared" si="8"/>
        <v>0</v>
      </c>
      <c r="S30" s="45">
        <f t="shared" si="9"/>
        <v>0</v>
      </c>
      <c r="T30" s="45">
        <f t="shared" si="10"/>
        <v>0</v>
      </c>
      <c r="U30" s="45">
        <f t="shared" si="11"/>
        <v>0</v>
      </c>
      <c r="V30" s="55">
        <f t="shared" si="12"/>
        <v>0</v>
      </c>
    </row>
    <row r="31" spans="1:22" ht="12.75">
      <c r="A31" s="145" t="s">
        <v>726</v>
      </c>
      <c r="B31" s="120"/>
      <c r="C31" s="197">
        <f t="shared" si="0"/>
        <v>6195</v>
      </c>
      <c r="D31" s="120" t="str">
        <f t="shared" si="1"/>
        <v>people (HH= 1239)</v>
      </c>
      <c r="E31" s="196" t="s">
        <v>271</v>
      </c>
      <c r="F31" s="124" t="str">
        <f t="shared" si="2"/>
        <v>City</v>
      </c>
      <c r="G31" s="166"/>
      <c r="J31" s="52" t="s">
        <v>358</v>
      </c>
      <c r="K31" s="47">
        <f ca="1" t="shared" si="13"/>
        <v>6195</v>
      </c>
      <c r="L31" s="47">
        <f t="shared" si="14"/>
        <v>105964</v>
      </c>
      <c r="M31" s="54">
        <f t="shared" si="3"/>
        <v>25200</v>
      </c>
      <c r="N31" s="45">
        <f t="shared" si="4"/>
        <v>0</v>
      </c>
      <c r="O31" s="45">
        <f t="shared" si="5"/>
        <v>80764</v>
      </c>
      <c r="P31" s="45">
        <f t="shared" si="6"/>
        <v>1</v>
      </c>
      <c r="Q31" s="45">
        <f t="shared" si="7"/>
        <v>0</v>
      </c>
      <c r="R31" s="45">
        <f t="shared" si="8"/>
        <v>0</v>
      </c>
      <c r="S31" s="45">
        <f t="shared" si="9"/>
        <v>0</v>
      </c>
      <c r="T31" s="45">
        <f t="shared" si="10"/>
        <v>0</v>
      </c>
      <c r="U31" s="45">
        <f t="shared" si="11"/>
        <v>0</v>
      </c>
      <c r="V31" s="55">
        <f t="shared" si="12"/>
        <v>0</v>
      </c>
    </row>
    <row r="32" spans="1:22" ht="12.75">
      <c r="A32" s="145" t="s">
        <v>727</v>
      </c>
      <c r="B32" s="120"/>
      <c r="C32" s="197">
        <f t="shared" si="0"/>
        <v>5203</v>
      </c>
      <c r="D32" s="120" t="str">
        <f t="shared" si="1"/>
        <v>people (HH= 1040)</v>
      </c>
      <c r="E32" s="196" t="s">
        <v>271</v>
      </c>
      <c r="F32" s="124" t="str">
        <f t="shared" si="2"/>
        <v>City</v>
      </c>
      <c r="G32" s="166"/>
      <c r="J32" s="52" t="s">
        <v>359</v>
      </c>
      <c r="K32" s="47">
        <f ca="1" t="shared" si="13"/>
        <v>5203</v>
      </c>
      <c r="L32" s="47">
        <f t="shared" si="14"/>
        <v>111167</v>
      </c>
      <c r="M32" s="54">
        <f t="shared" si="3"/>
        <v>25200</v>
      </c>
      <c r="N32" s="45">
        <f t="shared" si="4"/>
        <v>0</v>
      </c>
      <c r="O32" s="45">
        <f t="shared" si="5"/>
        <v>85967</v>
      </c>
      <c r="P32" s="45">
        <f t="shared" si="6"/>
        <v>1</v>
      </c>
      <c r="Q32" s="45">
        <f t="shared" si="7"/>
        <v>0</v>
      </c>
      <c r="R32" s="45">
        <f t="shared" si="8"/>
        <v>0</v>
      </c>
      <c r="S32" s="45">
        <f t="shared" si="9"/>
        <v>0</v>
      </c>
      <c r="T32" s="45">
        <f t="shared" si="10"/>
        <v>0</v>
      </c>
      <c r="U32" s="45">
        <f t="shared" si="11"/>
        <v>0</v>
      </c>
      <c r="V32" s="55">
        <f t="shared" si="12"/>
        <v>0</v>
      </c>
    </row>
    <row r="33" spans="1:22" ht="12.75">
      <c r="A33" s="145" t="s">
        <v>728</v>
      </c>
      <c r="B33" s="120"/>
      <c r="C33" s="197">
        <f t="shared" si="0"/>
        <v>3902</v>
      </c>
      <c r="D33" s="120" t="str">
        <f t="shared" si="1"/>
        <v>people (HH= 780)</v>
      </c>
      <c r="E33" s="196" t="s">
        <v>271</v>
      </c>
      <c r="F33" s="124" t="str">
        <f t="shared" si="2"/>
        <v>Town</v>
      </c>
      <c r="G33" s="166"/>
      <c r="J33" s="52" t="s">
        <v>360</v>
      </c>
      <c r="K33" s="47">
        <f ca="1" t="shared" si="13"/>
        <v>3902</v>
      </c>
      <c r="L33" s="47">
        <f t="shared" si="14"/>
        <v>115069</v>
      </c>
      <c r="M33" s="56">
        <f t="shared" si="3"/>
        <v>25200</v>
      </c>
      <c r="N33" s="57">
        <f t="shared" si="4"/>
        <v>0</v>
      </c>
      <c r="O33" s="57">
        <f t="shared" si="5"/>
        <v>85967</v>
      </c>
      <c r="P33" s="57">
        <f t="shared" si="6"/>
        <v>0</v>
      </c>
      <c r="Q33" s="57">
        <f t="shared" si="7"/>
        <v>3902</v>
      </c>
      <c r="R33" s="57">
        <f t="shared" si="8"/>
        <v>1</v>
      </c>
      <c r="S33" s="57">
        <f t="shared" si="9"/>
        <v>0</v>
      </c>
      <c r="T33" s="57">
        <f t="shared" si="10"/>
        <v>0</v>
      </c>
      <c r="U33" s="57">
        <f t="shared" si="11"/>
        <v>0</v>
      </c>
      <c r="V33" s="58">
        <f t="shared" si="12"/>
        <v>0</v>
      </c>
    </row>
    <row r="34" spans="1:7" ht="12.75">
      <c r="A34" s="145"/>
      <c r="B34" s="120"/>
      <c r="C34" s="197"/>
      <c r="D34" s="124"/>
      <c r="E34" s="124"/>
      <c r="F34" s="124"/>
      <c r="G34" s="143"/>
    </row>
    <row r="35" spans="1:7" ht="12.75">
      <c r="A35" s="145" t="s">
        <v>273</v>
      </c>
      <c r="B35" s="120"/>
      <c r="C35" s="197">
        <f>SUM(C24:C33)</f>
        <v>115069</v>
      </c>
      <c r="D35" s="120" t="str">
        <f>"people (HH= "&amp;TRUNC(C35/$C$12)&amp;")"</f>
        <v>people (HH= 23013)</v>
      </c>
      <c r="E35" s="196"/>
      <c r="F35" s="197"/>
      <c r="G35" s="143"/>
    </row>
    <row r="36" spans="1:12" ht="12.75">
      <c r="A36" s="145" t="s">
        <v>274</v>
      </c>
      <c r="B36" s="120"/>
      <c r="C36" s="126">
        <f>C35/C8</f>
        <v>0.08219214285714285</v>
      </c>
      <c r="D36" s="124"/>
      <c r="E36" s="124"/>
      <c r="F36" s="124"/>
      <c r="G36" s="143"/>
      <c r="J36" s="52"/>
      <c r="K36" s="47"/>
      <c r="L36" s="37"/>
    </row>
    <row r="37" spans="1:11" ht="13.5" thickBot="1">
      <c r="A37" s="191"/>
      <c r="B37" s="192"/>
      <c r="C37" s="192"/>
      <c r="D37" s="192"/>
      <c r="E37" s="192"/>
      <c r="F37" s="192"/>
      <c r="G37" s="193"/>
      <c r="J37" s="52"/>
      <c r="K37" s="47"/>
    </row>
    <row r="38" spans="1:11" ht="13.5" thickTop="1">
      <c r="A38" s="124"/>
      <c r="B38" s="124"/>
      <c r="C38" s="124"/>
      <c r="D38" s="124"/>
      <c r="E38" s="124"/>
      <c r="F38" s="124"/>
      <c r="G38" s="124"/>
      <c r="H38" s="124"/>
      <c r="J38" s="52"/>
      <c r="K38" s="47"/>
    </row>
    <row r="39" spans="1:11" ht="12.75">
      <c r="A39" s="124"/>
      <c r="B39" s="124"/>
      <c r="C39" s="124"/>
      <c r="D39" s="124"/>
      <c r="E39" s="124"/>
      <c r="F39" s="124"/>
      <c r="G39" s="124"/>
      <c r="H39" s="124"/>
      <c r="J39" s="52"/>
      <c r="K39" s="47"/>
    </row>
    <row r="40" spans="1:11" ht="12.75">
      <c r="A40" s="124"/>
      <c r="B40" s="124"/>
      <c r="C40" s="124"/>
      <c r="D40" s="124"/>
      <c r="E40" s="124"/>
      <c r="F40" s="124"/>
      <c r="G40" s="124"/>
      <c r="H40" s="124"/>
      <c r="J40" s="52"/>
      <c r="K40" s="47"/>
    </row>
    <row r="41" spans="10:11" ht="12.75">
      <c r="J41" s="52"/>
      <c r="K41" s="47"/>
    </row>
    <row r="42" spans="10:11" ht="12.75">
      <c r="J42" s="52"/>
      <c r="K42" s="47"/>
    </row>
    <row r="43" spans="10:11" ht="12.75">
      <c r="J43" s="52"/>
      <c r="K43" s="47"/>
    </row>
    <row r="44" spans="10:11" ht="12.75">
      <c r="J44" s="52"/>
      <c r="K44" s="47"/>
    </row>
  </sheetData>
  <sheetProtection/>
  <mergeCells count="2">
    <mergeCell ref="F7:G7"/>
    <mergeCell ref="F8:G8"/>
  </mergeCells>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Q70"/>
  <sheetViews>
    <sheetView showGridLines="0" zoomScale="110" zoomScaleNormal="110" zoomScalePageLayoutView="0" workbookViewId="0" topLeftCell="A25">
      <selection activeCell="D14" sqref="D14"/>
    </sheetView>
  </sheetViews>
  <sheetFormatPr defaultColWidth="9.140625" defaultRowHeight="12.75"/>
  <cols>
    <col min="1" max="1" width="38.7109375" style="0" customWidth="1"/>
    <col min="2" max="2" width="25.57421875" style="0" customWidth="1"/>
    <col min="3" max="3" width="23.00390625" style="0" customWidth="1"/>
    <col min="4" max="4" width="41.140625" style="0" customWidth="1"/>
    <col min="5" max="5" width="52.8515625" style="0" bestFit="1" customWidth="1"/>
    <col min="6" max="6" width="14.57421875" style="0" bestFit="1" customWidth="1"/>
    <col min="7" max="7" width="22.57421875" style="0" customWidth="1"/>
    <col min="8" max="8" width="13.8515625" style="0" bestFit="1" customWidth="1"/>
    <col min="9" max="9" width="15.421875" style="0" customWidth="1"/>
    <col min="10" max="10" width="13.421875" style="0" bestFit="1" customWidth="1"/>
    <col min="11" max="11" width="22.57421875" style="0" customWidth="1"/>
    <col min="12" max="12" width="17.421875" style="0" bestFit="1" customWidth="1"/>
  </cols>
  <sheetData>
    <row r="1" spans="1:4" ht="24" thickTop="1">
      <c r="A1" s="398" t="s">
        <v>342</v>
      </c>
      <c r="B1" s="139"/>
      <c r="C1" s="140"/>
      <c r="D1" s="153" t="s">
        <v>291</v>
      </c>
    </row>
    <row r="2" spans="1:4" ht="15.75">
      <c r="A2" s="154"/>
      <c r="B2" s="155"/>
      <c r="C2" s="124"/>
      <c r="D2" s="143"/>
    </row>
    <row r="3" spans="1:4" ht="15.75">
      <c r="A3" s="156" t="s">
        <v>468</v>
      </c>
      <c r="B3" s="155"/>
      <c r="C3" s="124"/>
      <c r="D3" s="143"/>
    </row>
    <row r="4" spans="1:4" ht="13.5" thickBot="1">
      <c r="A4" s="142"/>
      <c r="B4" s="124"/>
      <c r="C4" s="124"/>
      <c r="D4" s="143"/>
    </row>
    <row r="5" spans="1:4" ht="18">
      <c r="A5" s="339" t="s">
        <v>961</v>
      </c>
      <c r="B5" s="1"/>
      <c r="C5" s="1"/>
      <c r="D5" s="340"/>
    </row>
    <row r="6" spans="1:11" ht="12.75">
      <c r="A6" s="145" t="s">
        <v>527</v>
      </c>
      <c r="B6" s="157">
        <v>850</v>
      </c>
      <c r="C6" s="158" t="s">
        <v>958</v>
      </c>
      <c r="D6" s="194">
        <f>2*(B6/PI())^0.5</f>
        <v>32.897623212397704</v>
      </c>
      <c r="H6" s="21"/>
      <c r="J6" s="20"/>
      <c r="K6" s="20"/>
    </row>
    <row r="7" spans="1:11" ht="12.75">
      <c r="A7" s="145" t="s">
        <v>528</v>
      </c>
      <c r="B7" s="159">
        <v>2600</v>
      </c>
      <c r="C7" s="124" t="s">
        <v>268</v>
      </c>
      <c r="D7" s="143"/>
      <c r="H7" s="21"/>
      <c r="J7" s="20"/>
      <c r="K7" s="20"/>
    </row>
    <row r="8" spans="1:11" ht="12.75">
      <c r="A8" s="145"/>
      <c r="B8" s="160">
        <f>B7/D8</f>
        <v>520</v>
      </c>
      <c r="C8" s="120" t="s">
        <v>959</v>
      </c>
      <c r="D8" s="207">
        <v>5</v>
      </c>
      <c r="H8" s="21"/>
      <c r="J8" s="20"/>
      <c r="K8" s="20"/>
    </row>
    <row r="9" spans="1:11" ht="12.75">
      <c r="A9" s="142"/>
      <c r="B9" s="442">
        <v>0.8</v>
      </c>
      <c r="C9" s="442"/>
      <c r="D9" s="195">
        <f>B8*B9</f>
        <v>416</v>
      </c>
      <c r="H9" s="21"/>
      <c r="J9" s="20"/>
      <c r="K9" s="20"/>
    </row>
    <row r="10" spans="1:11" ht="13.5" thickBot="1">
      <c r="A10" s="148"/>
      <c r="B10" s="441">
        <f>1-B9</f>
        <v>0.19999999999999996</v>
      </c>
      <c r="C10" s="441"/>
      <c r="D10" s="390">
        <f>B8-D9</f>
        <v>104</v>
      </c>
      <c r="H10" s="21"/>
      <c r="J10" s="20"/>
      <c r="K10" s="20"/>
    </row>
    <row r="11" spans="1:11" ht="13.5" thickBot="1">
      <c r="A11" s="142"/>
      <c r="B11" s="124"/>
      <c r="C11" s="162"/>
      <c r="D11" s="161"/>
      <c r="H11" s="21"/>
      <c r="J11" s="20"/>
      <c r="K11" s="20"/>
    </row>
    <row r="12" spans="1:11" ht="18">
      <c r="A12" s="339" t="s">
        <v>533</v>
      </c>
      <c r="B12" s="1"/>
      <c r="C12" s="391"/>
      <c r="D12" s="392"/>
      <c r="H12" s="21"/>
      <c r="J12" s="20"/>
      <c r="K12" s="20"/>
    </row>
    <row r="13" spans="1:5" ht="12.75">
      <c r="A13" s="145" t="s">
        <v>530</v>
      </c>
      <c r="B13" s="157">
        <v>0</v>
      </c>
      <c r="C13" s="158" t="s">
        <v>958</v>
      </c>
      <c r="D13" s="194">
        <f>2*(B13/PI())^0.5</f>
        <v>0</v>
      </c>
      <c r="E13" s="37"/>
    </row>
    <row r="14" spans="1:11" ht="12.75">
      <c r="A14" s="145" t="s">
        <v>529</v>
      </c>
      <c r="B14" s="159">
        <v>0</v>
      </c>
      <c r="C14" s="124" t="s">
        <v>268</v>
      </c>
      <c r="D14" s="143"/>
      <c r="H14" s="37"/>
      <c r="J14" s="48"/>
      <c r="K14" s="53"/>
    </row>
    <row r="15" spans="1:11" ht="12.75">
      <c r="A15" s="145"/>
      <c r="B15" s="160">
        <f>B14/3.3</f>
        <v>0</v>
      </c>
      <c r="C15" s="120" t="s">
        <v>475</v>
      </c>
      <c r="D15" s="143"/>
      <c r="H15" s="37"/>
      <c r="J15" s="48"/>
      <c r="K15" s="53"/>
    </row>
    <row r="16" spans="1:11" ht="12.75">
      <c r="A16" s="142"/>
      <c r="B16" s="442">
        <v>0.8</v>
      </c>
      <c r="C16" s="442"/>
      <c r="D16" s="195">
        <f>B15*B16</f>
        <v>0</v>
      </c>
      <c r="H16" s="37"/>
      <c r="J16" s="48"/>
      <c r="K16" s="53"/>
    </row>
    <row r="17" spans="1:11" ht="13.5" thickBot="1">
      <c r="A17" s="148"/>
      <c r="B17" s="441">
        <f>1-B16</f>
        <v>0.19999999999999996</v>
      </c>
      <c r="C17" s="441"/>
      <c r="D17" s="390">
        <f>B15-D16</f>
        <v>0</v>
      </c>
      <c r="H17" s="37"/>
      <c r="J17" s="48"/>
      <c r="K17" s="53"/>
    </row>
    <row r="18" spans="1:11" ht="13.5" thickBot="1">
      <c r="A18" s="142"/>
      <c r="B18" s="124"/>
      <c r="C18" s="162"/>
      <c r="D18" s="161"/>
      <c r="H18" s="37"/>
      <c r="J18" s="48"/>
      <c r="K18" s="53"/>
    </row>
    <row r="19" spans="1:11" ht="18">
      <c r="A19" s="339" t="s">
        <v>960</v>
      </c>
      <c r="B19" s="40" t="s">
        <v>532</v>
      </c>
      <c r="C19" s="40" t="s">
        <v>533</v>
      </c>
      <c r="D19" s="340"/>
      <c r="H19" s="37"/>
      <c r="J19" s="48"/>
      <c r="K19" s="53"/>
    </row>
    <row r="20" spans="1:11" ht="14.25">
      <c r="A20" s="145" t="s">
        <v>531</v>
      </c>
      <c r="B20" s="164">
        <f>B6*250</f>
        <v>212500</v>
      </c>
      <c r="C20" s="164">
        <f>B13*250</f>
        <v>0</v>
      </c>
      <c r="D20" s="165" t="s">
        <v>538</v>
      </c>
      <c r="G20" s="31" t="s">
        <v>467</v>
      </c>
      <c r="H20" s="5" t="s">
        <v>388</v>
      </c>
      <c r="I20" s="6" t="s">
        <v>298</v>
      </c>
      <c r="J20" s="68">
        <v>1</v>
      </c>
      <c r="K20" s="53"/>
    </row>
    <row r="21" spans="1:9" ht="12.75">
      <c r="A21" s="145" t="s">
        <v>361</v>
      </c>
      <c r="B21" s="164">
        <f>D9*24</f>
        <v>9984</v>
      </c>
      <c r="C21" s="164">
        <f>D16*24</f>
        <v>0</v>
      </c>
      <c r="D21" s="166" t="s">
        <v>534</v>
      </c>
      <c r="G21" s="76" t="s">
        <v>712</v>
      </c>
      <c r="H21" s="107">
        <v>200</v>
      </c>
      <c r="I21" s="88">
        <v>0.135</v>
      </c>
    </row>
    <row r="22" spans="1:13" ht="12.75">
      <c r="A22" s="145" t="s">
        <v>362</v>
      </c>
      <c r="B22" s="164">
        <f>D10</f>
        <v>104</v>
      </c>
      <c r="C22" s="164">
        <f>D17</f>
        <v>0</v>
      </c>
      <c r="D22" s="166" t="s">
        <v>535</v>
      </c>
      <c r="G22" s="76" t="s">
        <v>713</v>
      </c>
      <c r="H22" s="107">
        <v>1000</v>
      </c>
      <c r="I22" s="88">
        <v>0.025</v>
      </c>
      <c r="K22" s="37"/>
      <c r="L22" s="47"/>
      <c r="M22" s="37"/>
    </row>
    <row r="23" spans="1:9" ht="12.75">
      <c r="A23" s="145" t="s">
        <v>363</v>
      </c>
      <c r="B23" s="164">
        <f>B21</f>
        <v>9984</v>
      </c>
      <c r="C23" s="164">
        <f>C21</f>
        <v>0</v>
      </c>
      <c r="D23" s="166" t="s">
        <v>536</v>
      </c>
      <c r="G23" s="76" t="s">
        <v>714</v>
      </c>
      <c r="H23" s="107">
        <v>5000</v>
      </c>
      <c r="I23" s="88">
        <v>0.0066</v>
      </c>
    </row>
    <row r="24" spans="1:9" ht="13.5" thickBot="1">
      <c r="A24" s="149" t="s">
        <v>364</v>
      </c>
      <c r="B24" s="393">
        <f>B20-SUM(B21:B23)</f>
        <v>192428</v>
      </c>
      <c r="C24" s="393">
        <f>C20-SUM(C21:C23)</f>
        <v>0</v>
      </c>
      <c r="D24" s="394" t="s">
        <v>537</v>
      </c>
      <c r="F24" s="37"/>
      <c r="G24" s="105" t="s">
        <v>542</v>
      </c>
      <c r="H24" s="9"/>
      <c r="I24" s="89">
        <v>0.05</v>
      </c>
    </row>
    <row r="25" spans="1:6" ht="13.5" thickBot="1">
      <c r="A25" s="145"/>
      <c r="B25" s="164"/>
      <c r="C25" s="124"/>
      <c r="D25" s="166"/>
      <c r="F25" s="37"/>
    </row>
    <row r="26" spans="1:6" ht="18">
      <c r="A26" s="339" t="s">
        <v>954</v>
      </c>
      <c r="B26" s="40" t="s">
        <v>532</v>
      </c>
      <c r="C26" s="40" t="s">
        <v>533</v>
      </c>
      <c r="D26" s="340"/>
      <c r="F26" s="37"/>
    </row>
    <row r="27" spans="1:6" ht="12.75">
      <c r="A27" s="167" t="s">
        <v>539</v>
      </c>
      <c r="B27" s="399">
        <f>B21*4*$I$21</f>
        <v>5391.360000000001</v>
      </c>
      <c r="C27" s="399">
        <f>C21*4*INDEX(I21:I23,J20)</f>
        <v>0</v>
      </c>
      <c r="D27" s="166" t="s">
        <v>548</v>
      </c>
      <c r="F27" s="37"/>
    </row>
    <row r="28" spans="1:6" ht="12.75">
      <c r="A28" s="145"/>
      <c r="B28" s="399">
        <f>650/2*D10*$I$21</f>
        <v>4563</v>
      </c>
      <c r="C28" s="399">
        <f>650/2*D17*INDEX(I21:I23,J20)</f>
        <v>0</v>
      </c>
      <c r="D28" s="166" t="s">
        <v>957</v>
      </c>
      <c r="F28" s="37"/>
    </row>
    <row r="29" spans="1:4" ht="12.75">
      <c r="A29" s="142"/>
      <c r="B29" s="400">
        <f>(B27+B28)*0.25</f>
        <v>2488.59</v>
      </c>
      <c r="C29" s="400">
        <f>(C27+C28)*0.25</f>
        <v>0</v>
      </c>
      <c r="D29" s="166" t="s">
        <v>540</v>
      </c>
    </row>
    <row r="30" spans="1:4" ht="12.75">
      <c r="A30" s="167" t="s">
        <v>541</v>
      </c>
      <c r="B30" s="399">
        <f>B27+B28+B29</f>
        <v>12442.95</v>
      </c>
      <c r="C30" s="399">
        <f>C27+C28+C29</f>
        <v>0</v>
      </c>
      <c r="D30" s="166"/>
    </row>
    <row r="31" spans="1:4" ht="13.5" thickBot="1">
      <c r="A31" s="151" t="s">
        <v>523</v>
      </c>
      <c r="B31" s="440">
        <f>B30+C30</f>
        <v>12442.95</v>
      </c>
      <c r="C31" s="440"/>
      <c r="D31" s="341"/>
    </row>
    <row r="32" spans="1:6" ht="13.5" thickBot="1">
      <c r="A32" s="167"/>
      <c r="B32" s="171"/>
      <c r="C32" s="120"/>
      <c r="D32" s="166"/>
      <c r="E32" s="47"/>
      <c r="F32" s="37"/>
    </row>
    <row r="33" spans="1:15" ht="18">
      <c r="A33" s="339" t="s">
        <v>955</v>
      </c>
      <c r="B33" s="1"/>
      <c r="C33" s="1"/>
      <c r="D33" s="340"/>
      <c r="J33" s="20"/>
      <c r="K33" s="20"/>
      <c r="N33" s="62"/>
      <c r="O33" s="47"/>
    </row>
    <row r="34" spans="1:10" ht="12.75">
      <c r="A34" s="145"/>
      <c r="B34" s="172" t="s">
        <v>472</v>
      </c>
      <c r="C34" s="172" t="s">
        <v>473</v>
      </c>
      <c r="D34" s="143"/>
      <c r="E34" s="106"/>
      <c r="F34" s="37"/>
      <c r="J34" s="37" t="str">
        <f>"Approx. 0.1% of the value"</f>
        <v>Approx. 0.1% of the value</v>
      </c>
    </row>
    <row r="35" spans="1:9" ht="12.75">
      <c r="A35" s="173" t="s">
        <v>519</v>
      </c>
      <c r="B35" s="124"/>
      <c r="C35" s="174">
        <f>I24+IF(J20=1,I22+I23,0)+IF(J20=2,I23,0)</f>
        <v>0.0816</v>
      </c>
      <c r="D35" s="166"/>
      <c r="G35" s="31" t="s">
        <v>370</v>
      </c>
      <c r="H35" s="5" t="s">
        <v>371</v>
      </c>
      <c r="I35" s="6" t="s">
        <v>388</v>
      </c>
    </row>
    <row r="36" spans="1:10" ht="12.75">
      <c r="A36" s="175" t="s">
        <v>521</v>
      </c>
      <c r="B36" s="168">
        <f>0.03*(B21)+0.15*B22+0.01*(B23)+0.001*(B24)+0.001*B41+INDEX(H21:H23,J20)</f>
        <v>820.238</v>
      </c>
      <c r="C36" s="168">
        <f>B31*I24</f>
        <v>622.1475</v>
      </c>
      <c r="D36" s="143" t="s">
        <v>369</v>
      </c>
      <c r="E36" s="104"/>
      <c r="G36" s="76" t="s">
        <v>372</v>
      </c>
      <c r="H36" s="108">
        <v>12850</v>
      </c>
      <c r="I36" s="109">
        <v>13</v>
      </c>
      <c r="J36" s="35">
        <f>TRUNC(I36/H36,5)</f>
        <v>0.00101</v>
      </c>
    </row>
    <row r="37" spans="1:10" ht="12.75">
      <c r="A37" s="175" t="s">
        <v>522</v>
      </c>
      <c r="B37" s="168">
        <f>B31*(IF(J20=1,(I22+I23),0)+IF(J20=2,I23,0)+IF(J20=3,0,0))</f>
        <v>393.1972200000001</v>
      </c>
      <c r="C37" s="168">
        <f>B31*(IF(J20=1,I22+I23,0)+IF(J20=2,I23,0))</f>
        <v>393.1972200000001</v>
      </c>
      <c r="D37" s="143" t="s">
        <v>369</v>
      </c>
      <c r="E37" s="104"/>
      <c r="G37" s="76" t="s">
        <v>373</v>
      </c>
      <c r="H37" s="108">
        <v>21300</v>
      </c>
      <c r="I37" s="109">
        <v>22</v>
      </c>
      <c r="J37" s="35">
        <f aca="true" t="shared" si="0" ref="J37:J44">TRUNC(I37/H37,5)</f>
        <v>0.00103</v>
      </c>
    </row>
    <row r="38" spans="1:10" ht="12.75">
      <c r="A38" s="176" t="s">
        <v>520</v>
      </c>
      <c r="B38" s="168">
        <f>B37+B36</f>
        <v>1213.43522</v>
      </c>
      <c r="C38" s="168">
        <f>C36+C37</f>
        <v>1015.34472</v>
      </c>
      <c r="D38" s="177"/>
      <c r="G38" s="76" t="s">
        <v>374</v>
      </c>
      <c r="H38" s="108">
        <v>41000</v>
      </c>
      <c r="I38" s="109">
        <v>42</v>
      </c>
      <c r="J38" s="35">
        <f t="shared" si="0"/>
        <v>0.00102</v>
      </c>
    </row>
    <row r="39" spans="1:10" ht="12.75">
      <c r="A39" s="178"/>
      <c r="B39" s="179"/>
      <c r="C39" s="179"/>
      <c r="D39" s="180"/>
      <c r="G39" s="76" t="s">
        <v>378</v>
      </c>
      <c r="H39" s="108">
        <v>22500</v>
      </c>
      <c r="I39" s="109">
        <v>23</v>
      </c>
      <c r="J39" s="35">
        <f t="shared" si="0"/>
        <v>0.00102</v>
      </c>
    </row>
    <row r="40" spans="1:17" ht="12.75">
      <c r="A40" s="173" t="s">
        <v>517</v>
      </c>
      <c r="B40" s="124"/>
      <c r="C40" s="181">
        <v>0.1</v>
      </c>
      <c r="D40" s="166" t="s">
        <v>369</v>
      </c>
      <c r="G40" s="76" t="s">
        <v>379</v>
      </c>
      <c r="H40" s="108">
        <v>50000</v>
      </c>
      <c r="I40" s="109">
        <v>50</v>
      </c>
      <c r="J40" s="35">
        <f t="shared" si="0"/>
        <v>0.001</v>
      </c>
      <c r="O40" s="45"/>
      <c r="P40" s="45"/>
      <c r="Q40" s="45"/>
    </row>
    <row r="41" spans="1:17" ht="12.75">
      <c r="A41" s="182" t="s">
        <v>474</v>
      </c>
      <c r="B41" s="169">
        <v>12850</v>
      </c>
      <c r="C41" s="168">
        <f>10*C42</f>
        <v>12442.95</v>
      </c>
      <c r="D41" s="183"/>
      <c r="E41" s="52"/>
      <c r="G41" s="76" t="s">
        <v>380</v>
      </c>
      <c r="H41" s="108">
        <v>100000</v>
      </c>
      <c r="I41" s="109">
        <v>100</v>
      </c>
      <c r="J41" s="35">
        <f t="shared" si="0"/>
        <v>0.001</v>
      </c>
      <c r="O41" s="45"/>
      <c r="P41" s="45"/>
      <c r="Q41" s="45"/>
    </row>
    <row r="42" spans="1:17" ht="12.75">
      <c r="A42" s="176" t="s">
        <v>518</v>
      </c>
      <c r="B42" s="168">
        <f>B41*0.1</f>
        <v>1285</v>
      </c>
      <c r="C42" s="168">
        <f>C40*$B$31</f>
        <v>1244.295</v>
      </c>
      <c r="D42" s="177"/>
      <c r="E42" s="52"/>
      <c r="G42" s="76" t="s">
        <v>524</v>
      </c>
      <c r="H42" s="108"/>
      <c r="I42" s="109">
        <v>100</v>
      </c>
      <c r="J42" s="35" t="e">
        <f t="shared" si="0"/>
        <v>#DIV/0!</v>
      </c>
      <c r="O42" s="45"/>
      <c r="P42" s="45"/>
      <c r="Q42" s="45"/>
    </row>
    <row r="43" spans="1:17" ht="12.75">
      <c r="A43" s="178"/>
      <c r="B43" s="179"/>
      <c r="C43" s="179"/>
      <c r="D43" s="180"/>
      <c r="G43" s="76" t="s">
        <v>525</v>
      </c>
      <c r="H43" s="108"/>
      <c r="I43" s="109">
        <v>200</v>
      </c>
      <c r="J43" s="35" t="e">
        <f t="shared" si="0"/>
        <v>#DIV/0!</v>
      </c>
      <c r="K43" s="45"/>
      <c r="L43" s="45"/>
      <c r="M43" s="45"/>
      <c r="O43" s="45"/>
      <c r="P43" s="45"/>
      <c r="Q43" s="45"/>
    </row>
    <row r="44" spans="1:17" ht="12.75">
      <c r="A44" s="173" t="s">
        <v>366</v>
      </c>
      <c r="B44" s="124"/>
      <c r="C44" s="181">
        <v>0.05</v>
      </c>
      <c r="D44" s="166" t="s">
        <v>369</v>
      </c>
      <c r="G44" s="77" t="s">
        <v>526</v>
      </c>
      <c r="H44" s="110"/>
      <c r="I44" s="111">
        <v>400</v>
      </c>
      <c r="J44" s="35" t="e">
        <f t="shared" si="0"/>
        <v>#DIV/0!</v>
      </c>
      <c r="K44" s="45"/>
      <c r="L44" s="45"/>
      <c r="M44" s="45"/>
      <c r="O44" s="45"/>
      <c r="P44" s="45"/>
      <c r="Q44" s="45"/>
    </row>
    <row r="45" spans="1:17" ht="12.75">
      <c r="A45" s="176" t="s">
        <v>518</v>
      </c>
      <c r="B45" s="168">
        <f>C45</f>
        <v>622.1475</v>
      </c>
      <c r="C45" s="168">
        <f>C44*$B$31</f>
        <v>622.1475</v>
      </c>
      <c r="D45" s="177"/>
      <c r="I45" s="45"/>
      <c r="O45" s="45"/>
      <c r="P45" s="45"/>
      <c r="Q45" s="45"/>
    </row>
    <row r="46" spans="1:17" ht="12.75">
      <c r="A46" s="178"/>
      <c r="B46" s="179"/>
      <c r="C46" s="179"/>
      <c r="D46" s="180"/>
      <c r="F46" s="106">
        <f>('Data_Worker costs'!E26+'Data_Worker costs'!E43)/2*52/100</f>
        <v>139.1</v>
      </c>
      <c r="G46" s="112" t="s">
        <v>553</v>
      </c>
      <c r="O46" s="45"/>
      <c r="P46" s="45"/>
      <c r="Q46" s="45"/>
    </row>
    <row r="47" spans="1:17" ht="12.75">
      <c r="A47" s="173" t="s">
        <v>552</v>
      </c>
      <c r="B47" s="124"/>
      <c r="C47" s="181">
        <v>0.03</v>
      </c>
      <c r="D47" s="166" t="s">
        <v>369</v>
      </c>
      <c r="E47" s="52"/>
      <c r="F47" s="66"/>
      <c r="O47" s="45"/>
      <c r="P47" s="45"/>
      <c r="Q47" s="45"/>
    </row>
    <row r="48" spans="1:17" ht="12.75">
      <c r="A48" s="176" t="s">
        <v>547</v>
      </c>
      <c r="B48" s="159">
        <v>2</v>
      </c>
      <c r="C48" s="184">
        <f>TRUNC(C49/F46)</f>
        <v>2</v>
      </c>
      <c r="D48" s="183" t="s">
        <v>962</v>
      </c>
      <c r="O48" s="45"/>
      <c r="P48" s="45"/>
      <c r="Q48" s="45"/>
    </row>
    <row r="49" spans="1:17" ht="12.75">
      <c r="A49" s="176" t="s">
        <v>518</v>
      </c>
      <c r="B49" s="168">
        <f>B48*F46</f>
        <v>278.2</v>
      </c>
      <c r="C49" s="168">
        <f>C47*$B$31</f>
        <v>373.2885</v>
      </c>
      <c r="D49" s="177"/>
      <c r="F49" s="20" t="s">
        <v>463</v>
      </c>
      <c r="H49" s="70" t="s">
        <v>70</v>
      </c>
      <c r="I49" s="70" t="s">
        <v>462</v>
      </c>
      <c r="O49" s="45"/>
      <c r="P49" s="45"/>
      <c r="Q49" s="45"/>
    </row>
    <row r="50" spans="1:9" ht="12.75">
      <c r="A50" s="185"/>
      <c r="B50" s="179"/>
      <c r="C50" s="179"/>
      <c r="D50" s="180"/>
      <c r="E50" s="69" t="s">
        <v>464</v>
      </c>
      <c r="F50" s="106">
        <f>'Data_Worker costs'!B41*52/100</f>
        <v>2340</v>
      </c>
      <c r="G50" s="52" t="s">
        <v>387</v>
      </c>
      <c r="H50" s="72">
        <f>TRUNC(C56/I50)</f>
        <v>0</v>
      </c>
      <c r="I50" s="73">
        <f>F50+3*I51</f>
        <v>35412</v>
      </c>
    </row>
    <row r="51" spans="1:9" ht="12.75">
      <c r="A51" s="173" t="s">
        <v>471</v>
      </c>
      <c r="B51" s="124"/>
      <c r="C51" s="181">
        <v>0.45</v>
      </c>
      <c r="D51" s="166" t="s">
        <v>369</v>
      </c>
      <c r="E51" s="69" t="s">
        <v>465</v>
      </c>
      <c r="F51" s="106">
        <f>'Data_Worker costs'!B40*52/100</f>
        <v>1248</v>
      </c>
      <c r="G51" s="52" t="s">
        <v>386</v>
      </c>
      <c r="H51" s="72">
        <f>TRUNC((C56-H50*I50)/I51)</f>
        <v>0</v>
      </c>
      <c r="I51" s="73">
        <f>F51+4*I52</f>
        <v>11024</v>
      </c>
    </row>
    <row r="52" spans="1:12" ht="12.75">
      <c r="A52" s="182" t="s">
        <v>375</v>
      </c>
      <c r="B52" s="186">
        <v>0</v>
      </c>
      <c r="C52" s="187">
        <f>H50</f>
        <v>0</v>
      </c>
      <c r="D52" s="183" t="s">
        <v>963</v>
      </c>
      <c r="E52" s="52" t="s">
        <v>466</v>
      </c>
      <c r="F52" s="106">
        <f>'Data_Worker costs'!B39*52/100</f>
        <v>624</v>
      </c>
      <c r="G52" s="52" t="s">
        <v>367</v>
      </c>
      <c r="H52" s="74">
        <f>TRUNC((C56-H50*I50-H51*I51)/I52)</f>
        <v>2</v>
      </c>
      <c r="I52" s="73">
        <f>F52+7*I53</f>
        <v>2444</v>
      </c>
      <c r="K52" s="73"/>
      <c r="L52" s="75"/>
    </row>
    <row r="53" spans="1:12" ht="12.75">
      <c r="A53" s="182" t="s">
        <v>385</v>
      </c>
      <c r="B53" s="186">
        <v>0</v>
      </c>
      <c r="C53" s="187">
        <f>3*H50+H51</f>
        <v>0</v>
      </c>
      <c r="D53" s="183" t="s">
        <v>964</v>
      </c>
      <c r="E53" s="69" t="s">
        <v>299</v>
      </c>
      <c r="F53" s="106">
        <f>'Data_Worker costs'!B38*52/100</f>
        <v>260</v>
      </c>
      <c r="G53" s="71" t="s">
        <v>368</v>
      </c>
      <c r="H53" s="75">
        <f>TRUNC((C56-(H50*I50)-(H51*I51)-(H52*I52))/I53)</f>
        <v>2</v>
      </c>
      <c r="I53" s="73">
        <f>F53</f>
        <v>260</v>
      </c>
      <c r="J53" s="71"/>
      <c r="K53" s="73"/>
      <c r="L53" s="75"/>
    </row>
    <row r="54" spans="1:7" ht="12.75">
      <c r="A54" s="182" t="s">
        <v>376</v>
      </c>
      <c r="B54" s="186">
        <v>2</v>
      </c>
      <c r="C54" s="187">
        <f>12*H50+4*H51+H52</f>
        <v>2</v>
      </c>
      <c r="D54" s="183" t="s">
        <v>965</v>
      </c>
      <c r="E54" s="52"/>
      <c r="F54" s="78"/>
      <c r="G54" s="37"/>
    </row>
    <row r="55" spans="1:7" ht="12.75">
      <c r="A55" s="182" t="s">
        <v>377</v>
      </c>
      <c r="B55" s="186">
        <v>16</v>
      </c>
      <c r="C55" s="187">
        <f>84*H50+28*H51+7*H52+H53</f>
        <v>16</v>
      </c>
      <c r="D55" s="183" t="s">
        <v>966</v>
      </c>
      <c r="G55" s="37"/>
    </row>
    <row r="56" spans="1:7" ht="12.75">
      <c r="A56" s="182" t="s">
        <v>518</v>
      </c>
      <c r="B56" s="168">
        <f>B52*F50+B53*F51+B54*F52+B55*F53</f>
        <v>5408</v>
      </c>
      <c r="C56" s="168">
        <f>C51*$B$31</f>
        <v>5599.3275</v>
      </c>
      <c r="D56" s="177"/>
      <c r="G56" s="37"/>
    </row>
    <row r="57" spans="1:4" ht="12.75">
      <c r="A57" s="178"/>
      <c r="B57" s="179"/>
      <c r="C57" s="179"/>
      <c r="D57" s="180"/>
    </row>
    <row r="58" spans="1:7" ht="12.75">
      <c r="A58" s="173" t="s">
        <v>470</v>
      </c>
      <c r="B58" s="124"/>
      <c r="C58" s="181">
        <v>0.04</v>
      </c>
      <c r="D58" s="166" t="s">
        <v>369</v>
      </c>
      <c r="E58" s="52"/>
      <c r="F58" s="106">
        <f>'Data_Worker costs'!B9/100</f>
        <v>14.4</v>
      </c>
      <c r="G58" s="112" t="s">
        <v>554</v>
      </c>
    </row>
    <row r="59" spans="1:7" ht="12.75">
      <c r="A59" s="182" t="s">
        <v>476</v>
      </c>
      <c r="B59" s="188">
        <f>C59</f>
        <v>34</v>
      </c>
      <c r="C59" s="189">
        <f>TRUNC(C60/F58)</f>
        <v>34</v>
      </c>
      <c r="D59" s="166" t="s">
        <v>477</v>
      </c>
      <c r="G59" s="37"/>
    </row>
    <row r="60" spans="1:7" ht="12.75">
      <c r="A60" s="182" t="s">
        <v>518</v>
      </c>
      <c r="B60" s="168">
        <f>B59*F58</f>
        <v>489.6</v>
      </c>
      <c r="C60" s="168">
        <f>C58*$B$31</f>
        <v>497.718</v>
      </c>
      <c r="D60" s="177"/>
      <c r="E60" s="52"/>
      <c r="G60" s="66"/>
    </row>
    <row r="61" spans="1:5" ht="12.75">
      <c r="A61" s="178"/>
      <c r="B61" s="179"/>
      <c r="C61" s="179"/>
      <c r="D61" s="180"/>
      <c r="E61" s="52"/>
    </row>
    <row r="62" spans="1:6" ht="12.75">
      <c r="A62" s="173" t="s">
        <v>555</v>
      </c>
      <c r="B62" s="124"/>
      <c r="C62" s="181">
        <v>0.04</v>
      </c>
      <c r="D62" s="166" t="s">
        <v>369</v>
      </c>
      <c r="E62" s="52"/>
      <c r="F62" s="67"/>
    </row>
    <row r="63" spans="1:4" ht="12.75">
      <c r="A63" s="182" t="s">
        <v>549</v>
      </c>
      <c r="B63" s="160">
        <f>B48+B52+B53+B54+B55</f>
        <v>20</v>
      </c>
      <c r="C63" s="184">
        <f>TRUNC(C65*4.5/100)</f>
        <v>22</v>
      </c>
      <c r="D63" s="183" t="s">
        <v>551</v>
      </c>
    </row>
    <row r="64" spans="1:4" ht="12.75">
      <c r="A64" s="182" t="s">
        <v>365</v>
      </c>
      <c r="B64" s="186">
        <v>4</v>
      </c>
      <c r="C64" s="184">
        <f>TRUNC((C65-(C63*20))/10)</f>
        <v>5</v>
      </c>
      <c r="D64" s="183" t="s">
        <v>550</v>
      </c>
    </row>
    <row r="65" spans="1:4" ht="12.75">
      <c r="A65" s="182" t="s">
        <v>518</v>
      </c>
      <c r="B65" s="168">
        <f>B63*20+B64*10</f>
        <v>440</v>
      </c>
      <c r="C65" s="168">
        <f>C62*$B$31</f>
        <v>497.718</v>
      </c>
      <c r="D65" s="177"/>
    </row>
    <row r="66" spans="1:4" ht="12.75">
      <c r="A66" s="178"/>
      <c r="B66" s="179"/>
      <c r="C66" s="179"/>
      <c r="D66" s="180"/>
    </row>
    <row r="67" spans="1:4" ht="12.75">
      <c r="A67" s="173" t="s">
        <v>543</v>
      </c>
      <c r="B67" s="170">
        <f>B31-B38-B42-B45-B49-B56-B60-B65</f>
        <v>2706.5672800000016</v>
      </c>
      <c r="C67" s="170">
        <f>C70*B31</f>
        <v>2593.110779999999</v>
      </c>
      <c r="D67" s="143"/>
    </row>
    <row r="68" spans="1:4" ht="12.75">
      <c r="A68" s="182" t="s">
        <v>544</v>
      </c>
      <c r="B68" s="168">
        <f>B67/12</f>
        <v>225.54727333333346</v>
      </c>
      <c r="C68" s="168">
        <f>C67/12</f>
        <v>216.09256499999992</v>
      </c>
      <c r="D68" s="143"/>
    </row>
    <row r="69" spans="1:4" ht="12.75">
      <c r="A69" s="182" t="s">
        <v>545</v>
      </c>
      <c r="B69" s="190">
        <f>B67/52*100</f>
        <v>5204.93707692308</v>
      </c>
      <c r="C69" s="168">
        <f>C67/52</f>
        <v>49.86751499999998</v>
      </c>
      <c r="D69" s="143"/>
    </row>
    <row r="70" spans="1:4" ht="13.5" thickBot="1">
      <c r="A70" s="396" t="s">
        <v>546</v>
      </c>
      <c r="B70" s="397">
        <f>B67/(B31)</f>
        <v>0.21751813516891103</v>
      </c>
      <c r="C70" s="397">
        <f>1-C35-C40-C44-C47-C51-C58-C62</f>
        <v>0.20839999999999992</v>
      </c>
      <c r="D70" s="193"/>
    </row>
    <row r="71" ht="13.5" thickTop="1"/>
  </sheetData>
  <sheetProtection/>
  <mergeCells count="5">
    <mergeCell ref="B31:C31"/>
    <mergeCell ref="B10:C10"/>
    <mergeCell ref="B17:C17"/>
    <mergeCell ref="B16:C16"/>
    <mergeCell ref="B9:C9"/>
  </mergeCells>
  <printOptions/>
  <pageMargins left="0.25" right="0.25" top="0.75" bottom="0.75" header="0.3" footer="0.3"/>
  <pageSetup horizontalDpi="600" verticalDpi="600" orientation="landscape" r:id="rId3"/>
  <rowBreaks count="1" manualBreakCount="1">
    <brk id="32" max="255" man="1"/>
  </rowBreaks>
  <legacyDrawing r:id="rId2"/>
</worksheet>
</file>

<file path=xl/worksheets/sheet4.xml><?xml version="1.0" encoding="utf-8"?>
<worksheet xmlns="http://schemas.openxmlformats.org/spreadsheetml/2006/main" xmlns:r="http://schemas.openxmlformats.org/officeDocument/2006/relationships">
  <dimension ref="A1:AP177"/>
  <sheetViews>
    <sheetView showGridLines="0" tabSelected="1" zoomScale="130" zoomScaleNormal="130" workbookViewId="0" topLeftCell="A34">
      <selection activeCell="A40" sqref="A40"/>
    </sheetView>
  </sheetViews>
  <sheetFormatPr defaultColWidth="9.140625" defaultRowHeight="12.75"/>
  <cols>
    <col min="1" max="1" width="36.28125" style="0" customWidth="1"/>
    <col min="2" max="2" width="12.140625" style="0" customWidth="1"/>
    <col min="3" max="3" width="12.00390625" style="0" customWidth="1"/>
    <col min="4" max="4" width="10.7109375" style="0" customWidth="1"/>
    <col min="5" max="5" width="10.57421875" style="0" customWidth="1"/>
    <col min="6" max="6" width="11.7109375" style="0" customWidth="1"/>
    <col min="7" max="7" width="10.28125" style="0" customWidth="1"/>
    <col min="8" max="8" width="22.00390625" style="0" customWidth="1"/>
    <col min="9" max="9" width="6.28125" style="0" customWidth="1"/>
    <col min="10" max="10" width="6.28125" style="320" customWidth="1"/>
    <col min="11" max="11" width="8.421875" style="0" customWidth="1"/>
    <col min="12" max="12" width="20.57421875" style="0" customWidth="1"/>
    <col min="13" max="13" width="15.421875" style="0" customWidth="1"/>
    <col min="14" max="14" width="15.28125" style="0" customWidth="1"/>
    <col min="15" max="15" width="15.57421875" style="0" customWidth="1"/>
    <col min="16" max="16" width="19.7109375" style="0" customWidth="1"/>
    <col min="17" max="17" width="9.8515625" style="0" customWidth="1"/>
    <col min="18" max="18" width="11.421875" style="0" bestFit="1" customWidth="1"/>
    <col min="19" max="19" width="10.28125" style="0" customWidth="1"/>
    <col min="20" max="20" width="16.140625" style="0" customWidth="1"/>
    <col min="21" max="21" width="12.00390625" style="0" bestFit="1" customWidth="1"/>
    <col min="22" max="22" width="9.28125" style="0" bestFit="1" customWidth="1"/>
    <col min="23" max="23" width="9.7109375" style="0" customWidth="1"/>
    <col min="24" max="24" width="10.28125" style="0" bestFit="1" customWidth="1"/>
    <col min="25" max="25" width="8.421875" style="0" bestFit="1" customWidth="1"/>
    <col min="26" max="26" width="9.00390625" style="0" bestFit="1" customWidth="1"/>
    <col min="27" max="27" width="16.140625" style="0" bestFit="1" customWidth="1"/>
    <col min="28" max="28" width="7.421875" style="0" bestFit="1" customWidth="1"/>
    <col min="29" max="29" width="8.421875" style="0" bestFit="1" customWidth="1"/>
    <col min="30" max="33" width="11.421875" style="0" bestFit="1" customWidth="1"/>
    <col min="34" max="34" width="11.421875" style="0" customWidth="1"/>
    <col min="35" max="36" width="11.421875" style="0" bestFit="1" customWidth="1"/>
    <col min="39" max="39" width="10.140625" style="0" bestFit="1" customWidth="1"/>
    <col min="41" max="41" width="7.57421875" style="0" bestFit="1" customWidth="1"/>
    <col min="42" max="42" width="8.8515625" style="0" bestFit="1" customWidth="1"/>
    <col min="43" max="43" width="6.421875" style="0" bestFit="1" customWidth="1"/>
  </cols>
  <sheetData>
    <row r="1" spans="1:36" ht="24.75" thickBot="1" thickTop="1">
      <c r="A1" s="395" t="s">
        <v>956</v>
      </c>
      <c r="B1" s="34"/>
      <c r="C1" s="34"/>
      <c r="D1" s="34"/>
      <c r="E1" s="34"/>
      <c r="F1" s="34"/>
      <c r="G1" s="360" t="s">
        <v>291</v>
      </c>
      <c r="H1" s="124"/>
      <c r="I1" s="124"/>
      <c r="J1" s="319"/>
      <c r="O1" s="37" t="s">
        <v>292</v>
      </c>
      <c r="T1" s="36" t="s">
        <v>408</v>
      </c>
      <c r="AJ1" s="37" t="s">
        <v>412</v>
      </c>
    </row>
    <row r="2" spans="1:42" ht="18.75" thickBot="1">
      <c r="A2" s="339" t="s">
        <v>489</v>
      </c>
      <c r="B2" s="1"/>
      <c r="C2" s="1"/>
      <c r="D2" s="1"/>
      <c r="E2" s="1"/>
      <c r="F2" s="1"/>
      <c r="G2" s="340"/>
      <c r="H2" s="124"/>
      <c r="I2" s="124"/>
      <c r="J2" s="319"/>
      <c r="K2" s="317" t="s">
        <v>939</v>
      </c>
      <c r="L2" s="31" t="s">
        <v>787</v>
      </c>
      <c r="M2" s="379" t="s">
        <v>937</v>
      </c>
      <c r="N2" s="380" t="s">
        <v>867</v>
      </c>
      <c r="O2" s="4" t="s">
        <v>2</v>
      </c>
      <c r="P2" s="5" t="s">
        <v>3</v>
      </c>
      <c r="Q2" s="6" t="s">
        <v>4</v>
      </c>
      <c r="R2" s="134" t="s">
        <v>630</v>
      </c>
      <c r="T2" s="38"/>
      <c r="U2" s="80" t="s">
        <v>627</v>
      </c>
      <c r="V2" s="80" t="s">
        <v>628</v>
      </c>
      <c r="W2" s="80" t="s">
        <v>629</v>
      </c>
      <c r="X2" s="1"/>
      <c r="Y2" s="40" t="s">
        <v>283</v>
      </c>
      <c r="Z2" s="40" t="s">
        <v>272</v>
      </c>
      <c r="AA2" s="40" t="s">
        <v>1049</v>
      </c>
      <c r="AB2" s="40" t="s">
        <v>409</v>
      </c>
      <c r="AC2" s="40" t="s">
        <v>410</v>
      </c>
      <c r="AD2" s="40" t="s">
        <v>411</v>
      </c>
      <c r="AE2" s="40" t="s">
        <v>34</v>
      </c>
      <c r="AF2" s="40" t="s">
        <v>257</v>
      </c>
      <c r="AG2" s="41" t="s">
        <v>403</v>
      </c>
      <c r="AH2" s="129" t="s">
        <v>402</v>
      </c>
      <c r="AJ2" s="20" t="s">
        <v>394</v>
      </c>
      <c r="AK2" s="20" t="s">
        <v>395</v>
      </c>
      <c r="AL2" s="20" t="s">
        <v>413</v>
      </c>
      <c r="AM2" s="20" t="s">
        <v>397</v>
      </c>
      <c r="AN2" s="20" t="s">
        <v>398</v>
      </c>
      <c r="AO2" s="20" t="s">
        <v>399</v>
      </c>
      <c r="AP2" s="20" t="s">
        <v>400</v>
      </c>
    </row>
    <row r="3" spans="1:42" ht="16.5" thickTop="1">
      <c r="A3" s="154" t="s">
        <v>0</v>
      </c>
      <c r="B3" s="124"/>
      <c r="C3" s="273" t="s">
        <v>512</v>
      </c>
      <c r="D3" s="3"/>
      <c r="E3" s="3"/>
      <c r="F3" s="274">
        <f>F7*INDEX(U13:U19,R3)</f>
        <v>253.76000000000002</v>
      </c>
      <c r="G3" s="143"/>
      <c r="H3" s="124"/>
      <c r="I3" s="124"/>
      <c r="J3" s="319"/>
      <c r="K3" s="318">
        <v>2</v>
      </c>
      <c r="L3" s="7" t="s">
        <v>5</v>
      </c>
      <c r="M3" s="137">
        <v>1</v>
      </c>
      <c r="N3" s="314">
        <v>-2</v>
      </c>
      <c r="O3" s="7">
        <v>50</v>
      </c>
      <c r="P3">
        <v>280</v>
      </c>
      <c r="Q3" s="8">
        <f aca="true" t="shared" si="0" ref="Q3:Q9">O3+P3</f>
        <v>330</v>
      </c>
      <c r="R3" s="307">
        <v>1</v>
      </c>
      <c r="T3" s="2" t="s">
        <v>5</v>
      </c>
      <c r="U3" s="126">
        <f>AB3*$AB$13+AC3*$AC$13+AD3*$AD$13</f>
        <v>0.07050000000000001</v>
      </c>
      <c r="V3" s="126">
        <f aca="true" t="shared" si="1" ref="V3:V9">AB3*$AB$13*SUM($B$81:$B$94)+AC3*$AC$13*SUM($B$106:$B$118)+AD3*$AD$13*SUM($B$130:$B$133)</f>
        <v>0.05599500000000002</v>
      </c>
      <c r="W3" s="126">
        <f>U3-V3</f>
        <v>0.01450499999999999</v>
      </c>
      <c r="X3" s="124"/>
      <c r="Y3" s="125">
        <v>1.5</v>
      </c>
      <c r="Z3" s="125">
        <v>0.45</v>
      </c>
      <c r="AA3" s="125">
        <v>1.3</v>
      </c>
      <c r="AB3" s="125">
        <v>0.45</v>
      </c>
      <c r="AC3" s="125">
        <v>0.2</v>
      </c>
      <c r="AD3" s="125">
        <v>0.1</v>
      </c>
      <c r="AE3" s="125">
        <v>1.25</v>
      </c>
      <c r="AF3" s="125">
        <v>0.05</v>
      </c>
      <c r="AG3" s="85">
        <v>0.1</v>
      </c>
      <c r="AH3" s="130">
        <v>0.35</v>
      </c>
      <c r="AJ3" s="46">
        <f>SUMPRODUCT(Y3:AH3,Y$13:AH$13)</f>
        <v>0.9953000000000001</v>
      </c>
      <c r="AK3" s="46">
        <f>SUMPRODUCT($Y3:$AD3,$Y$14:$AD$14)+SUMPRODUCT($AE3:$AH3,$AE$14:$AH$14)</f>
        <v>1.0327</v>
      </c>
      <c r="AL3" s="46">
        <f>SUMPRODUCT($Y3:$AD3,$Y$15:$AD$15)+SUMPRODUCT($AE3:$AH3,$AE$15:$AH$15)</f>
        <v>1.0345</v>
      </c>
      <c r="AM3" s="46">
        <f>SUMPRODUCT($Y3:$AD3,$Y$16:$AD$16)+SUMPRODUCT($AE3:$AH3,$AE$16:$AH$16)</f>
        <v>1.06</v>
      </c>
      <c r="AN3" s="46">
        <f>SUMPRODUCT($Y3:$AD3,$Y$17:$AD$17)+SUMPRODUCT($AE3:$AH3,$AE$17:$AH$17)</f>
        <v>1.0635</v>
      </c>
      <c r="AO3" s="46">
        <f>SUMPRODUCT($Y3:$AD3,$Y$18:$AD$18)+SUMPRODUCT($AE3:$AH3,$AE$18:$AH$18)</f>
        <v>1.0311500000000002</v>
      </c>
      <c r="AP3" s="46">
        <f>SUMPRODUCT($Y3:$AH3,$Y$19:$AH$19)</f>
        <v>1.0003499999999999</v>
      </c>
    </row>
    <row r="4" spans="1:42" ht="12.75">
      <c r="A4" s="142"/>
      <c r="B4" s="124"/>
      <c r="C4" s="7" t="s">
        <v>511</v>
      </c>
      <c r="D4" s="124"/>
      <c r="E4" s="124"/>
      <c r="F4" s="275">
        <f>F7*INDEX(V13:V19,R3)</f>
        <v>43.92</v>
      </c>
      <c r="G4" s="143"/>
      <c r="H4" s="124"/>
      <c r="I4" s="124"/>
      <c r="J4" s="319"/>
      <c r="L4" s="7" t="s">
        <v>6</v>
      </c>
      <c r="M4" s="137">
        <v>2</v>
      </c>
      <c r="N4" s="314">
        <v>-1</v>
      </c>
      <c r="O4" s="7">
        <f aca="true" t="shared" si="2" ref="O4:O9">Q3</f>
        <v>330</v>
      </c>
      <c r="P4">
        <v>570</v>
      </c>
      <c r="Q4" s="8">
        <f t="shared" si="0"/>
        <v>900</v>
      </c>
      <c r="R4" s="135"/>
      <c r="T4" s="2" t="s">
        <v>6</v>
      </c>
      <c r="U4" s="126">
        <f aca="true" t="shared" si="3" ref="U4:U9">AB4*$AB$13+AC4*$AC$13+AD4*$AD$13</f>
        <v>0.1386</v>
      </c>
      <c r="V4" s="126">
        <f t="shared" si="1"/>
        <v>0.10602900000000004</v>
      </c>
      <c r="W4" s="126">
        <f aca="true" t="shared" si="4" ref="W4:W9">U4-V4</f>
        <v>0.03257099999999996</v>
      </c>
      <c r="X4" s="124"/>
      <c r="Y4" s="125">
        <v>1.25</v>
      </c>
      <c r="Z4" s="125">
        <v>0.75</v>
      </c>
      <c r="AA4" s="125">
        <v>1.15</v>
      </c>
      <c r="AB4" s="125">
        <v>0.75</v>
      </c>
      <c r="AC4" s="125">
        <v>0.65</v>
      </c>
      <c r="AD4" s="125">
        <v>0.5</v>
      </c>
      <c r="AE4" s="125">
        <v>1.1</v>
      </c>
      <c r="AF4" s="125">
        <v>0.3</v>
      </c>
      <c r="AG4" s="85">
        <v>0.4</v>
      </c>
      <c r="AH4" s="130">
        <v>0.5</v>
      </c>
      <c r="AJ4" s="46">
        <f aca="true" t="shared" si="5" ref="AJ4:AJ9">SUMPRODUCT(Y4:AH4,Y$13:AH$13)</f>
        <v>0.9942500000000002</v>
      </c>
      <c r="AK4" s="46">
        <f aca="true" t="shared" si="6" ref="AK4:AK9">SUMPRODUCT($Y4:$AD4,$Y$14:$AD$14)+SUMPRODUCT($AE4:$AH4,$AE$14:$AH$14)</f>
        <v>1.0350999999999997</v>
      </c>
      <c r="AL4" s="46">
        <f aca="true" t="shared" si="7" ref="AL4:AL9">SUMPRODUCT($Y4:$AD4,$Y$15:$AD$15)+SUMPRODUCT($AE4:$AH4,$AE$15:$AH$15)</f>
        <v>1.025</v>
      </c>
      <c r="AM4" s="46">
        <f aca="true" t="shared" si="8" ref="AM4:AM9">SUMPRODUCT($Y4:$AD4,$Y$16:$AD$16)+SUMPRODUCT($AE4:$AH4,$AE$16:$AH$16)</f>
        <v>1.04775</v>
      </c>
      <c r="AN4" s="46">
        <f aca="true" t="shared" si="9" ref="AN4:AN9">SUMPRODUCT($Y4:$AD4,$Y$17:$AD$17)+SUMPRODUCT($AE4:$AH4,$AE$17:$AH$17)</f>
        <v>1.054</v>
      </c>
      <c r="AO4" s="46">
        <f aca="true" t="shared" si="10" ref="AO4:AO9">SUMPRODUCT($Y4:$AD4,$Y$18:$AD$18)+SUMPRODUCT($AE4:$AH4,$AE$18:$AH$18)</f>
        <v>1.02885</v>
      </c>
      <c r="AP4" s="46">
        <f aca="true" t="shared" si="11" ref="AP4:AP9">SUMPRODUCT($Y4:$AH4,$Y$19:$AH$19)</f>
        <v>1</v>
      </c>
    </row>
    <row r="5" spans="1:42" ht="12.75">
      <c r="A5" s="142"/>
      <c r="B5" s="124"/>
      <c r="C5" s="7" t="s">
        <v>510</v>
      </c>
      <c r="D5" s="124"/>
      <c r="E5" s="124"/>
      <c r="F5" s="275">
        <f>F7*INDEX(W13:W19,R3)</f>
        <v>180.56</v>
      </c>
      <c r="G5" s="143"/>
      <c r="H5" s="124"/>
      <c r="I5" s="124"/>
      <c r="J5" s="319"/>
      <c r="L5" s="7" t="s">
        <v>389</v>
      </c>
      <c r="M5" s="137">
        <v>2</v>
      </c>
      <c r="N5" s="314">
        <v>0</v>
      </c>
      <c r="O5" s="7">
        <f t="shared" si="2"/>
        <v>900</v>
      </c>
      <c r="P5">
        <v>1100</v>
      </c>
      <c r="Q5" s="8">
        <f t="shared" si="0"/>
        <v>2000</v>
      </c>
      <c r="R5" s="135"/>
      <c r="T5" s="2" t="s">
        <v>389</v>
      </c>
      <c r="U5" s="126">
        <f t="shared" si="3"/>
        <v>0.196</v>
      </c>
      <c r="V5" s="126">
        <f t="shared" si="1"/>
        <v>0.14774000000000004</v>
      </c>
      <c r="W5" s="126">
        <f t="shared" si="4"/>
        <v>0.04825999999999997</v>
      </c>
      <c r="X5" s="124"/>
      <c r="Y5" s="125">
        <v>1</v>
      </c>
      <c r="Z5" s="125">
        <v>1</v>
      </c>
      <c r="AA5" s="125">
        <v>1</v>
      </c>
      <c r="AB5" s="125">
        <v>1</v>
      </c>
      <c r="AC5" s="125">
        <v>1</v>
      </c>
      <c r="AD5" s="125">
        <v>1</v>
      </c>
      <c r="AE5" s="125">
        <v>1</v>
      </c>
      <c r="AF5" s="125">
        <v>1</v>
      </c>
      <c r="AG5" s="85">
        <v>1</v>
      </c>
      <c r="AH5" s="130">
        <v>1</v>
      </c>
      <c r="AJ5" s="46">
        <f t="shared" si="5"/>
        <v>1.0000000000000002</v>
      </c>
      <c r="AK5" s="46">
        <f t="shared" si="6"/>
        <v>1.0659999999999998</v>
      </c>
      <c r="AL5" s="46">
        <f t="shared" si="7"/>
        <v>1.04</v>
      </c>
      <c r="AM5" s="46">
        <f t="shared" si="8"/>
        <v>1.065</v>
      </c>
      <c r="AN5" s="46">
        <f t="shared" si="9"/>
        <v>1.0825</v>
      </c>
      <c r="AO5" s="46">
        <f t="shared" si="10"/>
        <v>1.054</v>
      </c>
      <c r="AP5" s="46">
        <f t="shared" si="11"/>
        <v>1.0000000000000002</v>
      </c>
    </row>
    <row r="6" spans="1:42" ht="15.75">
      <c r="A6" s="154" t="s">
        <v>404</v>
      </c>
      <c r="B6" s="124"/>
      <c r="C6" s="76" t="s">
        <v>509</v>
      </c>
      <c r="D6" s="124"/>
      <c r="E6" s="124"/>
      <c r="F6" s="275">
        <f>F7-SUM(F3:F5)</f>
        <v>9.759999999999991</v>
      </c>
      <c r="G6" s="143"/>
      <c r="H6" s="124"/>
      <c r="I6" s="124"/>
      <c r="J6" s="319"/>
      <c r="L6" s="7" t="s">
        <v>390</v>
      </c>
      <c r="M6" s="137">
        <v>3</v>
      </c>
      <c r="N6" s="314">
        <v>0</v>
      </c>
      <c r="O6" s="7">
        <f t="shared" si="2"/>
        <v>2000</v>
      </c>
      <c r="P6">
        <v>3000</v>
      </c>
      <c r="Q6" s="8">
        <f t="shared" si="0"/>
        <v>5000</v>
      </c>
      <c r="R6" s="135"/>
      <c r="T6" s="2" t="s">
        <v>390</v>
      </c>
      <c r="U6" s="126">
        <f t="shared" si="3"/>
        <v>0.22730000000000003</v>
      </c>
      <c r="V6" s="126">
        <f t="shared" si="1"/>
        <v>0.16928200000000007</v>
      </c>
      <c r="W6" s="126">
        <f t="shared" si="4"/>
        <v>0.05801799999999996</v>
      </c>
      <c r="X6" s="124"/>
      <c r="Y6" s="125">
        <v>0.85</v>
      </c>
      <c r="Z6" s="125">
        <v>1.2</v>
      </c>
      <c r="AA6" s="125">
        <v>0.9</v>
      </c>
      <c r="AB6" s="125">
        <v>1.1</v>
      </c>
      <c r="AC6" s="125">
        <v>1.25</v>
      </c>
      <c r="AD6" s="125">
        <v>1.4</v>
      </c>
      <c r="AE6" s="125">
        <v>0.9</v>
      </c>
      <c r="AF6" s="125">
        <v>1.15</v>
      </c>
      <c r="AG6" s="85">
        <v>1.2</v>
      </c>
      <c r="AH6" s="130">
        <v>1.25</v>
      </c>
      <c r="AJ6" s="46">
        <f t="shared" si="5"/>
        <v>1.0005000000000002</v>
      </c>
      <c r="AK6" s="46">
        <f t="shared" si="6"/>
        <v>1.0753000000000001</v>
      </c>
      <c r="AL6" s="46">
        <f t="shared" si="7"/>
        <v>1.0357500000000002</v>
      </c>
      <c r="AM6" s="46">
        <f t="shared" si="8"/>
        <v>1.0622500000000001</v>
      </c>
      <c r="AN6" s="46">
        <f t="shared" si="9"/>
        <v>1.083</v>
      </c>
      <c r="AO6" s="46">
        <f t="shared" si="10"/>
        <v>1.057</v>
      </c>
      <c r="AP6" s="46">
        <f t="shared" si="11"/>
        <v>0.99785</v>
      </c>
    </row>
    <row r="7" spans="1:42" ht="12.75">
      <c r="A7" s="142"/>
      <c r="B7" s="124"/>
      <c r="C7" s="276" t="s">
        <v>293</v>
      </c>
      <c r="D7" s="9"/>
      <c r="E7" s="9"/>
      <c r="F7" s="277">
        <f ca="1">INT(IF(K3=1,RAND()*P3+O3,0)+IF(K3=2,RAND()*P4+O4,0)+IF(K3=3,RAND()*P5+O5,0)+IF(K3=4,RAND()*P6+O6,0)+IF(K3=5,RAND()*P7+O7,0)+IF(K3=6,RAND()*P8+O8)+IF(K3=7,RAND()*P9+O9))</f>
        <v>488</v>
      </c>
      <c r="G7" s="143"/>
      <c r="H7" s="124"/>
      <c r="I7" s="124"/>
      <c r="J7" s="319"/>
      <c r="L7" s="7" t="s">
        <v>391</v>
      </c>
      <c r="M7" s="137">
        <v>4</v>
      </c>
      <c r="N7" s="314">
        <v>1</v>
      </c>
      <c r="O7" s="7">
        <f t="shared" si="2"/>
        <v>5000</v>
      </c>
      <c r="P7">
        <v>7000</v>
      </c>
      <c r="Q7" s="8">
        <f t="shared" si="0"/>
        <v>12000</v>
      </c>
      <c r="R7" s="135"/>
      <c r="T7" s="2" t="s">
        <v>391</v>
      </c>
      <c r="U7" s="126">
        <f t="shared" si="3"/>
        <v>0.258</v>
      </c>
      <c r="V7" s="126">
        <f t="shared" si="1"/>
        <v>0.19056000000000003</v>
      </c>
      <c r="W7" s="126">
        <f t="shared" si="4"/>
        <v>0.06743999999999997</v>
      </c>
      <c r="X7" s="124"/>
      <c r="Y7" s="125">
        <v>0.7</v>
      </c>
      <c r="Z7" s="125">
        <v>1.4</v>
      </c>
      <c r="AA7" s="125">
        <v>0.75</v>
      </c>
      <c r="AB7" s="125">
        <v>1.2</v>
      </c>
      <c r="AC7" s="125">
        <v>1.5</v>
      </c>
      <c r="AD7" s="125">
        <v>1.75</v>
      </c>
      <c r="AE7" s="125">
        <v>0.8</v>
      </c>
      <c r="AF7" s="125">
        <v>1.35</v>
      </c>
      <c r="AG7" s="85">
        <v>1.3</v>
      </c>
      <c r="AH7" s="130">
        <v>1.5</v>
      </c>
      <c r="AJ7" s="46">
        <f t="shared" si="5"/>
        <v>0.99705</v>
      </c>
      <c r="AK7" s="46">
        <f t="shared" si="6"/>
        <v>1.08095</v>
      </c>
      <c r="AL7" s="46">
        <f t="shared" si="7"/>
        <v>1.0264999999999997</v>
      </c>
      <c r="AM7" s="46">
        <f t="shared" si="8"/>
        <v>1.05325</v>
      </c>
      <c r="AN7" s="46">
        <f t="shared" si="9"/>
        <v>1.0683749999999999</v>
      </c>
      <c r="AO7" s="46">
        <f t="shared" si="10"/>
        <v>1.05365</v>
      </c>
      <c r="AP7" s="46">
        <f t="shared" si="11"/>
        <v>0.9935999999999998</v>
      </c>
    </row>
    <row r="8" spans="1:42" ht="13.5" thickBot="1">
      <c r="A8" s="148"/>
      <c r="B8" s="32"/>
      <c r="C8" s="32"/>
      <c r="D8" s="32"/>
      <c r="E8" s="32"/>
      <c r="F8" s="32"/>
      <c r="G8" s="341"/>
      <c r="H8" s="124"/>
      <c r="I8" s="124"/>
      <c r="J8" s="319"/>
      <c r="L8" s="7" t="s">
        <v>392</v>
      </c>
      <c r="M8" s="137">
        <v>5</v>
      </c>
      <c r="N8" s="314">
        <v>2</v>
      </c>
      <c r="O8" s="7">
        <f t="shared" si="2"/>
        <v>12000</v>
      </c>
      <c r="P8">
        <v>13000</v>
      </c>
      <c r="Q8" s="8">
        <f t="shared" si="0"/>
        <v>25000</v>
      </c>
      <c r="R8" s="135"/>
      <c r="T8" s="2" t="s">
        <v>392</v>
      </c>
      <c r="U8" s="126">
        <f t="shared" si="3"/>
        <v>0.29050000000000004</v>
      </c>
      <c r="V8" s="126">
        <f t="shared" si="1"/>
        <v>0.21263000000000004</v>
      </c>
      <c r="W8" s="126">
        <f t="shared" si="4"/>
        <v>0.07787</v>
      </c>
      <c r="X8" s="124"/>
      <c r="Y8" s="125">
        <v>0.55</v>
      </c>
      <c r="Z8" s="125">
        <v>1.6</v>
      </c>
      <c r="AA8" s="125">
        <v>0.6</v>
      </c>
      <c r="AB8" s="125">
        <v>1.3</v>
      </c>
      <c r="AC8" s="125">
        <v>1.75</v>
      </c>
      <c r="AD8" s="125">
        <v>2.25</v>
      </c>
      <c r="AE8" s="125">
        <v>0.7</v>
      </c>
      <c r="AF8" s="125">
        <v>1.65</v>
      </c>
      <c r="AG8" s="85">
        <v>1.4</v>
      </c>
      <c r="AH8" s="130">
        <v>1.75</v>
      </c>
      <c r="AJ8" s="46">
        <f t="shared" si="5"/>
        <v>0.9966000000000003</v>
      </c>
      <c r="AK8" s="46">
        <f t="shared" si="6"/>
        <v>1.0896500000000002</v>
      </c>
      <c r="AL8" s="46">
        <f t="shared" si="7"/>
        <v>1.0220000000000002</v>
      </c>
      <c r="AM8" s="46">
        <f t="shared" si="8"/>
        <v>1.0485000000000002</v>
      </c>
      <c r="AN8" s="46">
        <f t="shared" si="9"/>
        <v>1.057625</v>
      </c>
      <c r="AO8" s="46">
        <f t="shared" si="10"/>
        <v>1.05465</v>
      </c>
      <c r="AP8" s="46">
        <f t="shared" si="11"/>
        <v>0.99245</v>
      </c>
    </row>
    <row r="9" spans="1:42" ht="13.5" thickBot="1">
      <c r="A9" s="142"/>
      <c r="B9" s="124"/>
      <c r="C9" s="124"/>
      <c r="D9" s="124"/>
      <c r="E9" s="124"/>
      <c r="F9" s="124"/>
      <c r="G9" s="143"/>
      <c r="J9" s="319"/>
      <c r="L9" s="10" t="s">
        <v>337</v>
      </c>
      <c r="M9" s="315">
        <v>6</v>
      </c>
      <c r="N9" s="316">
        <v>4</v>
      </c>
      <c r="O9" s="10">
        <f t="shared" si="2"/>
        <v>25000</v>
      </c>
      <c r="P9" s="9">
        <v>55000</v>
      </c>
      <c r="Q9" s="11">
        <f t="shared" si="0"/>
        <v>80000</v>
      </c>
      <c r="R9" s="136"/>
      <c r="T9" s="61" t="s">
        <v>337</v>
      </c>
      <c r="U9" s="127">
        <f t="shared" si="3"/>
        <v>0.32599999999999996</v>
      </c>
      <c r="V9" s="127">
        <f t="shared" si="1"/>
        <v>0.23602000000000004</v>
      </c>
      <c r="W9" s="127">
        <f t="shared" si="4"/>
        <v>0.08997999999999992</v>
      </c>
      <c r="X9" s="128"/>
      <c r="Y9" s="86">
        <v>0.4</v>
      </c>
      <c r="Z9" s="86">
        <v>1.8</v>
      </c>
      <c r="AA9" s="86">
        <v>0.35</v>
      </c>
      <c r="AB9" s="86">
        <v>1.4</v>
      </c>
      <c r="AC9" s="86">
        <v>2</v>
      </c>
      <c r="AD9" s="86">
        <v>3</v>
      </c>
      <c r="AE9" s="86">
        <v>0.6</v>
      </c>
      <c r="AF9" s="86">
        <v>2</v>
      </c>
      <c r="AG9" s="87">
        <v>1.5</v>
      </c>
      <c r="AH9" s="131">
        <v>2</v>
      </c>
      <c r="AJ9" s="46">
        <f t="shared" si="5"/>
        <v>0.99325</v>
      </c>
      <c r="AK9" s="46">
        <f t="shared" si="6"/>
        <v>1.0965</v>
      </c>
      <c r="AL9" s="46">
        <f t="shared" si="7"/>
        <v>1.0125</v>
      </c>
      <c r="AM9" s="46">
        <f t="shared" si="8"/>
        <v>1.0365</v>
      </c>
      <c r="AN9" s="46">
        <f t="shared" si="9"/>
        <v>1.021</v>
      </c>
      <c r="AO9" s="46">
        <f t="shared" si="10"/>
        <v>1.0488</v>
      </c>
      <c r="AP9" s="46">
        <f t="shared" si="11"/>
        <v>0.9923000000000001</v>
      </c>
    </row>
    <row r="10" spans="1:17" ht="18">
      <c r="A10" s="339" t="s">
        <v>745</v>
      </c>
      <c r="B10" s="1"/>
      <c r="C10" s="359" t="s">
        <v>973</v>
      </c>
      <c r="D10" s="404">
        <f>SUM(G39:G47)</f>
        <v>152</v>
      </c>
      <c r="E10" s="403">
        <f>SUM(D49:D61)</f>
        <v>5</v>
      </c>
      <c r="F10" s="359" t="s">
        <v>972</v>
      </c>
      <c r="G10" s="428">
        <f>D10+E10</f>
        <v>157</v>
      </c>
      <c r="H10" s="123"/>
      <c r="I10" s="123"/>
      <c r="N10" s="84"/>
      <c r="O10" s="84"/>
      <c r="P10" s="84"/>
      <c r="Q10" s="84"/>
    </row>
    <row r="11" spans="1:20" ht="38.25" customHeight="1" thickBot="1">
      <c r="A11" s="142"/>
      <c r="B11" s="263" t="s">
        <v>746</v>
      </c>
      <c r="C11" s="263" t="s">
        <v>982</v>
      </c>
      <c r="D11" s="263" t="s">
        <v>419</v>
      </c>
      <c r="E11" s="263" t="s">
        <v>420</v>
      </c>
      <c r="F11" s="263" t="s">
        <v>421</v>
      </c>
      <c r="G11" s="426" t="s">
        <v>758</v>
      </c>
      <c r="H11" s="163"/>
      <c r="I11" s="163"/>
      <c r="J11" s="321"/>
      <c r="N11" s="84"/>
      <c r="O11" s="84"/>
      <c r="P11" s="84"/>
      <c r="Q11" s="84"/>
      <c r="T11" s="36" t="s">
        <v>1048</v>
      </c>
    </row>
    <row r="12" spans="1:35" ht="15" customHeight="1" thickTop="1">
      <c r="A12" s="182" t="s">
        <v>974</v>
      </c>
      <c r="B12" s="137">
        <f>TRUNC(F7*(SUM(B41:B47)/SUM(B39:B47)))</f>
        <v>154</v>
      </c>
      <c r="C12" s="18">
        <f>SUM(G41:G47)+SUM(D50:D58)</f>
        <v>56</v>
      </c>
      <c r="D12" s="137">
        <f>ROUNDUP((SUMPRODUCT(E41:E47,G41:G47)+SUMPRODUCT(C50:C58,D50:D58)+SUMPRODUCT(C64:C69,D64:D69)),0)</f>
        <v>5</v>
      </c>
      <c r="E12" s="144">
        <f>D12/250</f>
        <v>0.02</v>
      </c>
      <c r="F12" s="144">
        <f>SQRT(E12/PI())*2</f>
        <v>0.15957691216057307</v>
      </c>
      <c r="G12" s="401">
        <f>B12/D12</f>
        <v>30.8</v>
      </c>
      <c r="H12" s="144"/>
      <c r="I12" s="144"/>
      <c r="J12" s="322"/>
      <c r="L12" s="90" t="s">
        <v>490</v>
      </c>
      <c r="M12" s="91" t="s">
        <v>491</v>
      </c>
      <c r="N12" s="91" t="s">
        <v>492</v>
      </c>
      <c r="O12" s="91" t="s">
        <v>493</v>
      </c>
      <c r="P12" s="91" t="s">
        <v>494</v>
      </c>
      <c r="Q12" s="91" t="s">
        <v>495</v>
      </c>
      <c r="R12" s="92" t="s">
        <v>496</v>
      </c>
      <c r="T12" s="38"/>
      <c r="U12" s="40" t="s">
        <v>401</v>
      </c>
      <c r="V12" s="40" t="s">
        <v>405</v>
      </c>
      <c r="W12" s="40" t="s">
        <v>406</v>
      </c>
      <c r="X12" s="40" t="s">
        <v>407</v>
      </c>
      <c r="Y12" s="40" t="s">
        <v>283</v>
      </c>
      <c r="Z12" s="40" t="s">
        <v>272</v>
      </c>
      <c r="AA12" s="40" t="s">
        <v>1049</v>
      </c>
      <c r="AB12" s="40" t="s">
        <v>409</v>
      </c>
      <c r="AC12" s="40" t="s">
        <v>410</v>
      </c>
      <c r="AD12" s="40" t="s">
        <v>411</v>
      </c>
      <c r="AE12" s="40" t="s">
        <v>34</v>
      </c>
      <c r="AF12" s="40" t="s">
        <v>257</v>
      </c>
      <c r="AG12" s="41" t="s">
        <v>403</v>
      </c>
      <c r="AH12" s="129" t="s">
        <v>402</v>
      </c>
      <c r="AI12" s="20" t="s">
        <v>69</v>
      </c>
    </row>
    <row r="13" spans="1:35" ht="12.75">
      <c r="A13" s="182" t="s">
        <v>975</v>
      </c>
      <c r="B13" s="137">
        <f>F7-B12</f>
        <v>334</v>
      </c>
      <c r="C13" s="18">
        <f>SUM(G39:G40)+SUM(D60:D61)</f>
        <v>101</v>
      </c>
      <c r="D13" s="137">
        <f>ROUNDUP((E39*G39)+(G40*E40)+(C60*D60)+(C61*D61)+(C70*D70),0)</f>
        <v>3585</v>
      </c>
      <c r="E13" s="144">
        <f>D13/250</f>
        <v>14.34</v>
      </c>
      <c r="F13" s="144">
        <f>SQRT(E13/PI())*2</f>
        <v>4.272967946463234</v>
      </c>
      <c r="G13" s="402">
        <f>B13/D13</f>
        <v>0.09316596931659693</v>
      </c>
      <c r="H13" s="144"/>
      <c r="I13" s="144"/>
      <c r="J13" s="323"/>
      <c r="L13" s="93" t="s">
        <v>5</v>
      </c>
      <c r="M13" s="94">
        <v>0.3</v>
      </c>
      <c r="N13" s="94">
        <v>0.1</v>
      </c>
      <c r="O13" s="94">
        <v>0.02</v>
      </c>
      <c r="P13" s="94">
        <v>0</v>
      </c>
      <c r="Q13" s="94">
        <v>0</v>
      </c>
      <c r="R13" s="95">
        <v>0</v>
      </c>
      <c r="T13" s="17" t="s">
        <v>394</v>
      </c>
      <c r="U13" s="42">
        <v>0.52</v>
      </c>
      <c r="V13" s="42">
        <v>0.09</v>
      </c>
      <c r="W13" s="42">
        <v>0.37</v>
      </c>
      <c r="X13" s="42">
        <v>0.02</v>
      </c>
      <c r="Y13" s="42">
        <v>0.48</v>
      </c>
      <c r="Z13" s="42">
        <v>0.17</v>
      </c>
      <c r="AA13" s="42">
        <v>0.065</v>
      </c>
      <c r="AB13" s="42">
        <v>0.13</v>
      </c>
      <c r="AC13" s="42">
        <v>0.054</v>
      </c>
      <c r="AD13" s="42">
        <v>0.012</v>
      </c>
      <c r="AE13" s="42">
        <v>0.02</v>
      </c>
      <c r="AF13" s="42">
        <v>0.012</v>
      </c>
      <c r="AG13" s="81">
        <v>0.007</v>
      </c>
      <c r="AH13" s="132">
        <v>0.05</v>
      </c>
      <c r="AI13" s="35">
        <f>SUM(Y13:AH13)</f>
        <v>1.0000000000000002</v>
      </c>
    </row>
    <row r="14" spans="1:35" ht="13.5" thickBot="1">
      <c r="A14" s="342" t="s">
        <v>69</v>
      </c>
      <c r="B14" s="212">
        <f>SUM(B12:B13)</f>
        <v>488</v>
      </c>
      <c r="C14" s="212">
        <f>C12+C13</f>
        <v>157</v>
      </c>
      <c r="D14" s="100">
        <f>D12+D13</f>
        <v>3590</v>
      </c>
      <c r="E14" s="101">
        <f>E12+E13</f>
        <v>14.36</v>
      </c>
      <c r="F14" s="101">
        <f>SQRT(E14/PI())*2</f>
        <v>4.275946662716565</v>
      </c>
      <c r="G14" s="427"/>
      <c r="H14" s="124"/>
      <c r="I14" s="124"/>
      <c r="J14" s="323"/>
      <c r="L14" s="93" t="s">
        <v>6</v>
      </c>
      <c r="M14" s="94">
        <v>0.6</v>
      </c>
      <c r="N14" s="94">
        <v>0.3</v>
      </c>
      <c r="O14" s="94">
        <v>0.1</v>
      </c>
      <c r="P14" s="94">
        <v>0.05</v>
      </c>
      <c r="Q14" s="94">
        <v>0</v>
      </c>
      <c r="R14" s="95">
        <v>0</v>
      </c>
      <c r="T14" s="17" t="s">
        <v>395</v>
      </c>
      <c r="U14" s="42">
        <v>0.6</v>
      </c>
      <c r="V14" s="42">
        <v>0.03</v>
      </c>
      <c r="W14" s="42">
        <v>0.37</v>
      </c>
      <c r="X14" s="42">
        <v>0</v>
      </c>
      <c r="Y14" s="42">
        <v>0.5</v>
      </c>
      <c r="Z14" s="42">
        <v>0.1</v>
      </c>
      <c r="AA14" s="42">
        <v>0.06</v>
      </c>
      <c r="AB14" s="42">
        <v>0.17</v>
      </c>
      <c r="AC14" s="42">
        <v>0.07</v>
      </c>
      <c r="AD14" s="42">
        <v>0.015</v>
      </c>
      <c r="AE14" s="42">
        <v>0.02</v>
      </c>
      <c r="AF14" s="42">
        <v>0.008</v>
      </c>
      <c r="AG14" s="81">
        <v>0.003</v>
      </c>
      <c r="AH14" s="132">
        <v>0.12</v>
      </c>
      <c r="AI14" s="35">
        <f aca="true" t="shared" si="12" ref="AI14:AI19">SUM(Y14:AH14)</f>
        <v>1.0659999999999998</v>
      </c>
    </row>
    <row r="15" spans="1:35" ht="13.5" thickBot="1">
      <c r="A15" s="142"/>
      <c r="B15" s="124"/>
      <c r="C15" s="124"/>
      <c r="D15" s="124"/>
      <c r="E15" s="124"/>
      <c r="F15" s="124"/>
      <c r="G15" s="143"/>
      <c r="J15" s="319"/>
      <c r="L15" s="93" t="s">
        <v>497</v>
      </c>
      <c r="M15" s="94">
        <v>0.9</v>
      </c>
      <c r="N15" s="94">
        <v>0.75</v>
      </c>
      <c r="O15" s="94">
        <v>0.3</v>
      </c>
      <c r="P15" s="94">
        <v>0.15</v>
      </c>
      <c r="Q15" s="94">
        <v>0.05</v>
      </c>
      <c r="R15" s="95">
        <v>0</v>
      </c>
      <c r="T15" s="17" t="s">
        <v>396</v>
      </c>
      <c r="U15" s="42">
        <v>0.4</v>
      </c>
      <c r="V15" s="42">
        <v>0.004</v>
      </c>
      <c r="W15" s="42">
        <v>0.596</v>
      </c>
      <c r="X15" s="42">
        <v>0</v>
      </c>
      <c r="Y15" s="42">
        <v>0.48</v>
      </c>
      <c r="Z15" s="42">
        <v>0.08</v>
      </c>
      <c r="AA15" s="42">
        <v>0.1</v>
      </c>
      <c r="AB15" s="42">
        <v>0.16</v>
      </c>
      <c r="AC15" s="42">
        <v>0.07</v>
      </c>
      <c r="AD15" s="42">
        <v>0.015</v>
      </c>
      <c r="AE15" s="42">
        <v>0.025</v>
      </c>
      <c r="AF15" s="42">
        <v>0.025</v>
      </c>
      <c r="AG15" s="81">
        <v>0.005</v>
      </c>
      <c r="AH15" s="132">
        <v>0.08</v>
      </c>
      <c r="AI15" s="35">
        <f t="shared" si="12"/>
        <v>1.04</v>
      </c>
    </row>
    <row r="16" spans="1:35" ht="18">
      <c r="A16" s="339" t="s">
        <v>759</v>
      </c>
      <c r="B16" s="264"/>
      <c r="C16" s="265"/>
      <c r="D16" s="268"/>
      <c r="E16" s="445" t="s">
        <v>501</v>
      </c>
      <c r="F16" s="446"/>
      <c r="G16" s="447"/>
      <c r="H16" s="310"/>
      <c r="I16" s="310"/>
      <c r="L16" s="93" t="s">
        <v>498</v>
      </c>
      <c r="M16" s="94">
        <v>1</v>
      </c>
      <c r="N16" s="94">
        <v>0.9</v>
      </c>
      <c r="O16" s="94">
        <v>0.6</v>
      </c>
      <c r="P16" s="94">
        <v>0.3</v>
      </c>
      <c r="Q16" s="94">
        <v>0.15</v>
      </c>
      <c r="R16" s="95">
        <v>0.02</v>
      </c>
      <c r="T16" s="17" t="s">
        <v>397</v>
      </c>
      <c r="U16" s="42">
        <v>0.4</v>
      </c>
      <c r="V16" s="42">
        <v>0.004</v>
      </c>
      <c r="W16" s="42">
        <v>0.596</v>
      </c>
      <c r="X16" s="42">
        <v>0</v>
      </c>
      <c r="Y16" s="42">
        <v>0.48</v>
      </c>
      <c r="Z16" s="42">
        <v>0.08</v>
      </c>
      <c r="AA16" s="42">
        <v>0.12</v>
      </c>
      <c r="AB16" s="42">
        <v>0.16</v>
      </c>
      <c r="AC16" s="42">
        <v>0.065</v>
      </c>
      <c r="AD16" s="42">
        <v>0.015</v>
      </c>
      <c r="AE16" s="42">
        <v>0.02</v>
      </c>
      <c r="AF16" s="42">
        <v>0.02</v>
      </c>
      <c r="AG16" s="81">
        <v>0.005</v>
      </c>
      <c r="AH16" s="132">
        <v>0.1</v>
      </c>
      <c r="AI16" s="35">
        <f t="shared" si="12"/>
        <v>1.0650000000000002</v>
      </c>
    </row>
    <row r="17" spans="1:35" ht="15.75" thickBot="1">
      <c r="A17" s="142"/>
      <c r="B17" s="124"/>
      <c r="C17" s="124"/>
      <c r="D17" s="269" t="s">
        <v>508</v>
      </c>
      <c r="E17" s="281" t="s">
        <v>502</v>
      </c>
      <c r="F17" s="270" t="s">
        <v>503</v>
      </c>
      <c r="G17" s="343" t="s">
        <v>504</v>
      </c>
      <c r="H17" s="266"/>
      <c r="I17" s="266"/>
      <c r="J17" s="324"/>
      <c r="L17" s="93" t="s">
        <v>499</v>
      </c>
      <c r="M17" s="94">
        <v>1</v>
      </c>
      <c r="N17" s="94">
        <v>1</v>
      </c>
      <c r="O17" s="94">
        <v>0.9</v>
      </c>
      <c r="P17" s="94">
        <v>0.6</v>
      </c>
      <c r="Q17" s="94">
        <v>0.25</v>
      </c>
      <c r="R17" s="95">
        <v>0.05</v>
      </c>
      <c r="T17" s="17" t="s">
        <v>398</v>
      </c>
      <c r="U17" s="42">
        <v>0.4</v>
      </c>
      <c r="V17" s="42">
        <v>0.004</v>
      </c>
      <c r="W17" s="42">
        <v>0.596</v>
      </c>
      <c r="X17" s="42">
        <v>0</v>
      </c>
      <c r="Y17" s="42">
        <v>0.33</v>
      </c>
      <c r="Z17" s="42">
        <v>0.065</v>
      </c>
      <c r="AA17" s="42">
        <v>0.3</v>
      </c>
      <c r="AB17" s="42">
        <v>0.15</v>
      </c>
      <c r="AC17" s="42">
        <v>0.06</v>
      </c>
      <c r="AD17" s="42">
        <v>0.0125</v>
      </c>
      <c r="AE17" s="42">
        <v>0.02</v>
      </c>
      <c r="AF17" s="42">
        <v>0.02</v>
      </c>
      <c r="AG17" s="81">
        <v>0.005</v>
      </c>
      <c r="AH17" s="132">
        <v>0.12</v>
      </c>
      <c r="AI17" s="35">
        <f t="shared" si="12"/>
        <v>1.0825</v>
      </c>
    </row>
    <row r="18" spans="1:35" ht="13.5" thickTop="1">
      <c r="A18" s="344" t="s">
        <v>487</v>
      </c>
      <c r="B18" s="278">
        <f>IF(D42=0,100,200*D42)</f>
        <v>5400</v>
      </c>
      <c r="C18" s="124"/>
      <c r="D18" s="282" t="s">
        <v>505</v>
      </c>
      <c r="E18" s="285" t="s">
        <v>491</v>
      </c>
      <c r="F18" s="271" t="s">
        <v>492</v>
      </c>
      <c r="G18" s="345" t="s">
        <v>494</v>
      </c>
      <c r="H18" s="311"/>
      <c r="I18" s="311"/>
      <c r="J18" s="325"/>
      <c r="L18" s="93" t="s">
        <v>500</v>
      </c>
      <c r="M18" s="94">
        <v>1</v>
      </c>
      <c r="N18" s="94">
        <v>1</v>
      </c>
      <c r="O18" s="94">
        <v>1</v>
      </c>
      <c r="P18" s="94">
        <v>0.9</v>
      </c>
      <c r="Q18" s="94">
        <v>0.4</v>
      </c>
      <c r="R18" s="95">
        <v>0.1</v>
      </c>
      <c r="T18" s="17" t="s">
        <v>399</v>
      </c>
      <c r="U18" s="42">
        <v>0.6</v>
      </c>
      <c r="V18" s="42">
        <v>0.03</v>
      </c>
      <c r="W18" s="42">
        <v>0.37</v>
      </c>
      <c r="X18" s="42">
        <v>0</v>
      </c>
      <c r="Y18" s="42">
        <v>0.46</v>
      </c>
      <c r="Z18" s="42">
        <v>0.08</v>
      </c>
      <c r="AA18" s="42">
        <v>0.12</v>
      </c>
      <c r="AB18" s="42">
        <v>0.165</v>
      </c>
      <c r="AC18" s="42">
        <v>0.072</v>
      </c>
      <c r="AD18" s="42">
        <v>0.017</v>
      </c>
      <c r="AE18" s="42">
        <v>0.018</v>
      </c>
      <c r="AF18" s="42">
        <v>0.018</v>
      </c>
      <c r="AG18" s="81">
        <v>0.004</v>
      </c>
      <c r="AH18" s="132">
        <v>0.1</v>
      </c>
      <c r="AI18" s="35">
        <f t="shared" si="12"/>
        <v>1.054</v>
      </c>
    </row>
    <row r="19" spans="1:35" ht="13.5" thickBot="1">
      <c r="A19" s="142" t="s">
        <v>488</v>
      </c>
      <c r="B19" s="279">
        <f>B18*0.3</f>
        <v>1620</v>
      </c>
      <c r="C19" s="124"/>
      <c r="D19" s="283" t="s">
        <v>506</v>
      </c>
      <c r="E19" s="286" t="s">
        <v>492</v>
      </c>
      <c r="F19" s="272" t="s">
        <v>493</v>
      </c>
      <c r="G19" s="346" t="s">
        <v>495</v>
      </c>
      <c r="H19" s="311"/>
      <c r="I19" s="311"/>
      <c r="J19" s="326"/>
      <c r="L19" s="96" t="s">
        <v>337</v>
      </c>
      <c r="M19" s="97">
        <v>1</v>
      </c>
      <c r="N19" s="97">
        <v>1</v>
      </c>
      <c r="O19" s="97">
        <v>1</v>
      </c>
      <c r="P19" s="97">
        <v>1</v>
      </c>
      <c r="Q19" s="97">
        <v>0.6</v>
      </c>
      <c r="R19" s="98">
        <v>0.2</v>
      </c>
      <c r="T19" s="39" t="s">
        <v>400</v>
      </c>
      <c r="U19" s="82">
        <v>0.7</v>
      </c>
      <c r="V19" s="82">
        <v>0.05</v>
      </c>
      <c r="W19" s="82">
        <v>0.25</v>
      </c>
      <c r="X19" s="82">
        <v>0</v>
      </c>
      <c r="Y19" s="82">
        <v>0.515</v>
      </c>
      <c r="Z19" s="82">
        <v>0.155</v>
      </c>
      <c r="AA19" s="82">
        <v>0.03</v>
      </c>
      <c r="AB19" s="82">
        <v>0.15</v>
      </c>
      <c r="AC19" s="82">
        <v>0.064</v>
      </c>
      <c r="AD19" s="82">
        <v>0.014</v>
      </c>
      <c r="AE19" s="82">
        <v>0.018</v>
      </c>
      <c r="AF19" s="82">
        <v>0.01</v>
      </c>
      <c r="AG19" s="83">
        <v>0.004</v>
      </c>
      <c r="AH19" s="133">
        <v>0.04</v>
      </c>
      <c r="AI19" s="35">
        <f t="shared" si="12"/>
        <v>1.0000000000000002</v>
      </c>
    </row>
    <row r="20" spans="1:35" ht="24">
      <c r="A20" s="347" t="s">
        <v>760</v>
      </c>
      <c r="B20" s="280">
        <f>B19*0.05</f>
        <v>81</v>
      </c>
      <c r="C20" s="124"/>
      <c r="D20" s="284" t="s">
        <v>507</v>
      </c>
      <c r="E20" s="287" t="s">
        <v>493</v>
      </c>
      <c r="F20" s="288" t="s">
        <v>494</v>
      </c>
      <c r="G20" s="348" t="s">
        <v>496</v>
      </c>
      <c r="H20" s="311"/>
      <c r="I20" s="311"/>
      <c r="J20" s="326"/>
      <c r="L20" s="261"/>
      <c r="M20" s="262"/>
      <c r="N20" s="262"/>
      <c r="O20" s="262"/>
      <c r="P20" s="262"/>
      <c r="Q20" s="262"/>
      <c r="R20" s="262"/>
      <c r="T20" s="120"/>
      <c r="U20" s="121"/>
      <c r="V20" s="121"/>
      <c r="W20" s="121"/>
      <c r="X20" s="121"/>
      <c r="Y20" s="121"/>
      <c r="Z20" s="121"/>
      <c r="AA20" s="121"/>
      <c r="AB20" s="121"/>
      <c r="AC20" s="121"/>
      <c r="AD20" s="121"/>
      <c r="AE20" s="121"/>
      <c r="AF20" s="121"/>
      <c r="AG20" s="121"/>
      <c r="AH20" s="121"/>
      <c r="AI20" s="35"/>
    </row>
    <row r="21" spans="1:35" ht="12.75">
      <c r="A21" s="142"/>
      <c r="B21" s="124"/>
      <c r="C21" s="124"/>
      <c r="D21" s="124"/>
      <c r="E21" s="124"/>
      <c r="F21" s="124"/>
      <c r="G21" s="143"/>
      <c r="H21" s="124"/>
      <c r="I21" s="124"/>
      <c r="J21" s="326"/>
      <c r="L21" s="261"/>
      <c r="M21" s="262"/>
      <c r="N21" s="262"/>
      <c r="O21" s="262"/>
      <c r="P21" s="262"/>
      <c r="Q21" s="262"/>
      <c r="R21" s="262"/>
      <c r="T21" s="120"/>
      <c r="U21" s="121"/>
      <c r="V21" s="121"/>
      <c r="W21" s="121"/>
      <c r="X21" s="121"/>
      <c r="Y21" s="121"/>
      <c r="Z21" s="121"/>
      <c r="AA21" s="121"/>
      <c r="AB21" s="121"/>
      <c r="AC21" s="121"/>
      <c r="AD21" s="121"/>
      <c r="AE21" s="121"/>
      <c r="AF21" s="121"/>
      <c r="AG21" s="121"/>
      <c r="AH21" s="121"/>
      <c r="AI21" s="35"/>
    </row>
    <row r="22" spans="1:35" ht="24.75" thickBot="1">
      <c r="A22" s="142"/>
      <c r="B22" s="267" t="s">
        <v>491</v>
      </c>
      <c r="C22" s="267" t="s">
        <v>492</v>
      </c>
      <c r="D22" s="267" t="s">
        <v>493</v>
      </c>
      <c r="E22" s="267" t="s">
        <v>494</v>
      </c>
      <c r="F22" s="267" t="s">
        <v>495</v>
      </c>
      <c r="G22" s="349" t="s">
        <v>496</v>
      </c>
      <c r="H22" s="266"/>
      <c r="I22" s="266"/>
      <c r="J22" s="319"/>
      <c r="L22" s="261"/>
      <c r="M22" s="262"/>
      <c r="N22" s="262"/>
      <c r="O22" s="262"/>
      <c r="P22" s="262"/>
      <c r="Q22" s="262"/>
      <c r="R22" s="262"/>
      <c r="T22" s="120"/>
      <c r="U22" s="121"/>
      <c r="V22" s="121"/>
      <c r="W22" s="121"/>
      <c r="X22" s="121"/>
      <c r="Y22" s="121"/>
      <c r="Z22" s="121"/>
      <c r="AA22" s="121"/>
      <c r="AB22" s="121"/>
      <c r="AC22" s="121"/>
      <c r="AD22" s="121"/>
      <c r="AE22" s="121"/>
      <c r="AF22" s="121"/>
      <c r="AG22" s="121"/>
      <c r="AH22" s="121"/>
      <c r="AI22" s="35"/>
    </row>
    <row r="23" spans="1:35" ht="14.25" thickBot="1" thickTop="1">
      <c r="A23" s="151" t="str">
        <f>INDEX(L3:L9,K3)&amp;" (item availability chance) --&gt;"</f>
        <v>Village (item availability chance) --&gt;</v>
      </c>
      <c r="B23" s="99">
        <f aca="true" t="shared" si="13" ref="B23:G23">INDEX(M13:M19,$K$3)</f>
        <v>0.6</v>
      </c>
      <c r="C23" s="99">
        <f t="shared" si="13"/>
        <v>0.3</v>
      </c>
      <c r="D23" s="99">
        <f t="shared" si="13"/>
        <v>0.1</v>
      </c>
      <c r="E23" s="99">
        <f t="shared" si="13"/>
        <v>0.05</v>
      </c>
      <c r="F23" s="99">
        <f t="shared" si="13"/>
        <v>0</v>
      </c>
      <c r="G23" s="350">
        <f t="shared" si="13"/>
        <v>0</v>
      </c>
      <c r="H23" s="260"/>
      <c r="I23" s="260"/>
      <c r="J23" s="325"/>
      <c r="M23" s="262"/>
      <c r="N23" s="262"/>
      <c r="O23" s="262"/>
      <c r="P23" s="262"/>
      <c r="Q23" s="262"/>
      <c r="R23" s="262"/>
      <c r="T23" s="120"/>
      <c r="U23" s="121"/>
      <c r="V23" s="121"/>
      <c r="W23" s="121"/>
      <c r="X23" s="121"/>
      <c r="Y23" s="121"/>
      <c r="Z23" s="121"/>
      <c r="AA23" s="121"/>
      <c r="AB23" s="121"/>
      <c r="AC23" s="121"/>
      <c r="AD23" s="121"/>
      <c r="AE23" s="121"/>
      <c r="AF23" s="121"/>
      <c r="AG23" s="121"/>
      <c r="AH23" s="121"/>
      <c r="AI23" s="35"/>
    </row>
    <row r="24" spans="1:35" ht="13.5" thickBot="1">
      <c r="A24" s="142"/>
      <c r="B24" s="124"/>
      <c r="C24" s="124"/>
      <c r="D24" s="124"/>
      <c r="E24" s="124"/>
      <c r="F24" s="124"/>
      <c r="G24" s="143"/>
      <c r="J24" s="327"/>
      <c r="L24" s="261"/>
      <c r="M24" s="262"/>
      <c r="N24" s="262"/>
      <c r="O24" s="262"/>
      <c r="P24" s="262"/>
      <c r="Q24" s="262"/>
      <c r="R24" s="262"/>
      <c r="T24" s="120"/>
      <c r="U24" s="121"/>
      <c r="V24" s="121"/>
      <c r="W24" s="121"/>
      <c r="X24" s="121"/>
      <c r="Y24" s="121"/>
      <c r="Z24" s="121"/>
      <c r="AA24" s="121"/>
      <c r="AB24" s="121"/>
      <c r="AC24" s="121"/>
      <c r="AD24" s="121"/>
      <c r="AE24" s="121"/>
      <c r="AF24" s="121"/>
      <c r="AG24" s="121"/>
      <c r="AH24" s="121"/>
      <c r="AI24" s="35"/>
    </row>
    <row r="25" spans="1:35" ht="18">
      <c r="A25" s="339" t="s">
        <v>762</v>
      </c>
      <c r="B25" s="1"/>
      <c r="C25" s="1"/>
      <c r="D25" s="1"/>
      <c r="E25" s="1"/>
      <c r="F25" s="1"/>
      <c r="G25" s="340"/>
      <c r="M25" s="262"/>
      <c r="S25" s="306"/>
      <c r="T25" s="120"/>
      <c r="U25" s="121"/>
      <c r="V25" s="121"/>
      <c r="W25" s="121"/>
      <c r="X25" s="121"/>
      <c r="Y25" s="121"/>
      <c r="Z25" s="121"/>
      <c r="AA25" s="121"/>
      <c r="AB25" s="121"/>
      <c r="AC25" s="121"/>
      <c r="AD25" s="121"/>
      <c r="AE25" s="121"/>
      <c r="AF25" s="121"/>
      <c r="AG25" s="121"/>
      <c r="AH25" s="121"/>
      <c r="AI25" s="35"/>
    </row>
    <row r="26" spans="1:35" ht="39" customHeight="1">
      <c r="A26" s="358" t="s">
        <v>769</v>
      </c>
      <c r="B26" s="448" t="str">
        <f>INDEX(M27:M37,K27)</f>
        <v>A single individual chosen by the people rules the community. This leader’s actual title can vary—mayor, burgomaster, lord, or even royal titles like duke or prince are common.</v>
      </c>
      <c r="C26" s="448"/>
      <c r="D26" s="448"/>
      <c r="E26" s="448"/>
      <c r="F26" s="448"/>
      <c r="G26" s="449"/>
      <c r="H26" s="20"/>
      <c r="I26" s="20"/>
      <c r="K26" s="4" t="s">
        <v>938</v>
      </c>
      <c r="L26" s="293" t="s">
        <v>769</v>
      </c>
      <c r="M26" s="369"/>
      <c r="N26" s="294" t="s">
        <v>763</v>
      </c>
      <c r="O26" s="294" t="s">
        <v>764</v>
      </c>
      <c r="P26" s="294" t="s">
        <v>765</v>
      </c>
      <c r="Q26" s="294" t="s">
        <v>766</v>
      </c>
      <c r="R26" s="294" t="s">
        <v>767</v>
      </c>
      <c r="S26" s="295" t="s">
        <v>768</v>
      </c>
      <c r="T26" s="120"/>
      <c r="U26" s="121"/>
      <c r="V26" s="121"/>
      <c r="W26" s="121"/>
      <c r="X26" s="121"/>
      <c r="Y26" s="121"/>
      <c r="Z26" s="121"/>
      <c r="AA26" s="121"/>
      <c r="AB26" s="121"/>
      <c r="AC26" s="121"/>
      <c r="AD26" s="121"/>
      <c r="AE26" s="121"/>
      <c r="AF26" s="121"/>
      <c r="AG26" s="121"/>
      <c r="AH26" s="121"/>
      <c r="AI26" s="35"/>
    </row>
    <row r="27" spans="1:35" ht="19.5" customHeight="1">
      <c r="A27" s="145" t="str">
        <f>"This settlement size allows for # of Qualities = "&amp;INDEX(M3:M9,K3)</f>
        <v>This settlement size allows for # of Qualities = 2</v>
      </c>
      <c r="B27" s="253"/>
      <c r="C27" s="253"/>
      <c r="D27" s="253"/>
      <c r="E27" s="253"/>
      <c r="F27" s="253"/>
      <c r="G27" s="351"/>
      <c r="H27" s="13"/>
      <c r="J27" s="328"/>
      <c r="K27" s="370">
        <v>2</v>
      </c>
      <c r="L27" s="76" t="s">
        <v>866</v>
      </c>
      <c r="M27" s="253" t="str">
        <f>"Select a government"</f>
        <v>Select a government</v>
      </c>
      <c r="N27" s="124"/>
      <c r="O27" s="124"/>
      <c r="P27" s="124"/>
      <c r="Q27" s="124"/>
      <c r="R27" s="124"/>
      <c r="S27" s="8"/>
      <c r="T27" s="120"/>
      <c r="U27" s="121"/>
      <c r="V27" s="121"/>
      <c r="W27" s="121"/>
      <c r="X27" s="121"/>
      <c r="Y27" s="121"/>
      <c r="Z27" s="121"/>
      <c r="AA27" s="121"/>
      <c r="AB27" s="121"/>
      <c r="AC27" s="121"/>
      <c r="AD27" s="121"/>
      <c r="AE27" s="121"/>
      <c r="AF27" s="121"/>
      <c r="AG27" s="121"/>
      <c r="AH27" s="121"/>
      <c r="AI27" s="35"/>
    </row>
    <row r="28" spans="1:35" ht="39" customHeight="1">
      <c r="A28" s="383" t="str">
        <f aca="true" ca="1" t="shared" si="14" ref="A28:A33">"Random selection: "&amp;INDEX($L$40:$L$118,RANDBETWEEN(1,79))</f>
        <v>Random selection: Restrictive</v>
      </c>
      <c r="B28" s="450" t="str">
        <f aca="true" t="shared" si="15" ref="B28:B33">INDEX($M$40:$M$118,K30)</f>
        <v>No Quality selected.</v>
      </c>
      <c r="C28" s="450"/>
      <c r="D28" s="450"/>
      <c r="E28" s="450"/>
      <c r="F28" s="450"/>
      <c r="G28" s="451"/>
      <c r="H28" s="382"/>
      <c r="I28" s="309"/>
      <c r="L28" s="296" t="s">
        <v>771</v>
      </c>
      <c r="M28" s="372" t="s">
        <v>786</v>
      </c>
      <c r="N28" s="290"/>
      <c r="O28" s="289"/>
      <c r="P28" s="289"/>
      <c r="Q28" s="289"/>
      <c r="R28" s="289"/>
      <c r="S28" s="297"/>
      <c r="T28" s="120"/>
      <c r="U28" s="121"/>
      <c r="V28" s="121"/>
      <c r="W28" s="121"/>
      <c r="X28" s="121"/>
      <c r="Y28" s="121"/>
      <c r="Z28" s="121"/>
      <c r="AA28" s="121"/>
      <c r="AB28" s="121"/>
      <c r="AC28" s="121"/>
      <c r="AD28" s="121"/>
      <c r="AE28" s="121"/>
      <c r="AF28" s="121"/>
      <c r="AG28" s="121"/>
      <c r="AH28" s="121"/>
      <c r="AI28" s="35"/>
    </row>
    <row r="29" spans="1:35" ht="46.5" customHeight="1">
      <c r="A29" s="384" t="str">
        <f ca="1" t="shared" si="14"/>
        <v>Random selection: Planned community</v>
      </c>
      <c r="B29" s="443" t="str">
        <f t="shared" si="15"/>
        <v>No Quality selected.</v>
      </c>
      <c r="C29" s="443"/>
      <c r="D29" s="443"/>
      <c r="E29" s="443"/>
      <c r="F29" s="443"/>
      <c r="G29" s="444"/>
      <c r="H29" s="382"/>
      <c r="K29" s="4" t="s">
        <v>937</v>
      </c>
      <c r="L29" s="76" t="s">
        <v>775</v>
      </c>
      <c r="M29" s="372" t="s">
        <v>940</v>
      </c>
      <c r="N29" s="298">
        <v>2</v>
      </c>
      <c r="O29" s="289"/>
      <c r="P29" s="289">
        <v>1</v>
      </c>
      <c r="Q29" s="289">
        <v>1</v>
      </c>
      <c r="R29" s="289"/>
      <c r="S29" s="297"/>
      <c r="T29" s="120"/>
      <c r="U29" s="121"/>
      <c r="V29" s="121"/>
      <c r="W29" s="121"/>
      <c r="X29" s="121"/>
      <c r="Y29" s="121"/>
      <c r="Z29" s="121"/>
      <c r="AA29" s="121"/>
      <c r="AB29" s="121"/>
      <c r="AC29" s="121"/>
      <c r="AD29" s="121"/>
      <c r="AE29" s="121"/>
      <c r="AF29" s="121"/>
      <c r="AG29" s="121"/>
      <c r="AH29" s="121"/>
      <c r="AI29" s="35"/>
    </row>
    <row r="30" spans="1:35" ht="42.75" customHeight="1">
      <c r="A30" s="384" t="str">
        <f ca="1" t="shared" si="14"/>
        <v>Random selection: Tourist attraction</v>
      </c>
      <c r="B30" s="443" t="str">
        <f t="shared" si="15"/>
        <v>No Quality selected.</v>
      </c>
      <c r="C30" s="443"/>
      <c r="D30" s="443"/>
      <c r="E30" s="443"/>
      <c r="F30" s="443"/>
      <c r="G30" s="444"/>
      <c r="H30" s="382"/>
      <c r="J30" s="329"/>
      <c r="K30" s="371">
        <v>1</v>
      </c>
      <c r="L30" s="296" t="s">
        <v>772</v>
      </c>
      <c r="M30" s="372" t="s">
        <v>779</v>
      </c>
      <c r="N30" s="292"/>
      <c r="O30" s="289"/>
      <c r="P30" s="289"/>
      <c r="Q30" s="289">
        <v>-2</v>
      </c>
      <c r="R30" s="289">
        <v>-2</v>
      </c>
      <c r="S30" s="297">
        <v>4</v>
      </c>
      <c r="T30" s="120"/>
      <c r="U30" s="121"/>
      <c r="V30" s="121"/>
      <c r="W30" s="121"/>
      <c r="X30" s="121"/>
      <c r="Y30" s="121"/>
      <c r="Z30" s="121"/>
      <c r="AA30" s="121"/>
      <c r="AB30" s="121"/>
      <c r="AC30" s="121"/>
      <c r="AD30" s="121"/>
      <c r="AE30" s="121"/>
      <c r="AF30" s="121"/>
      <c r="AG30" s="121"/>
      <c r="AH30" s="121"/>
      <c r="AI30" s="35"/>
    </row>
    <row r="31" spans="1:35" ht="42" customHeight="1">
      <c r="A31" s="384" t="str">
        <f ca="1" t="shared" si="14"/>
        <v>Random selection: Small-folk settlement</v>
      </c>
      <c r="B31" s="443" t="str">
        <f t="shared" si="15"/>
        <v>No Quality selected.</v>
      </c>
      <c r="C31" s="443"/>
      <c r="D31" s="443"/>
      <c r="E31" s="443"/>
      <c r="F31" s="443"/>
      <c r="G31" s="444"/>
      <c r="H31" s="382"/>
      <c r="I31" s="13"/>
      <c r="K31" s="371">
        <v>1</v>
      </c>
      <c r="L31" s="299" t="s">
        <v>776</v>
      </c>
      <c r="M31" s="372" t="s">
        <v>780</v>
      </c>
      <c r="N31" s="292">
        <v>1</v>
      </c>
      <c r="O31" s="289"/>
      <c r="P31" s="289"/>
      <c r="Q31" s="289">
        <v>1</v>
      </c>
      <c r="R31" s="289"/>
      <c r="S31" s="297">
        <v>-2</v>
      </c>
      <c r="T31" s="120"/>
      <c r="U31" s="121"/>
      <c r="V31" s="121"/>
      <c r="W31" s="121"/>
      <c r="X31" s="121"/>
      <c r="Y31" s="121"/>
      <c r="Z31" s="121"/>
      <c r="AA31" s="121"/>
      <c r="AB31" s="121"/>
      <c r="AC31" s="121"/>
      <c r="AD31" s="121"/>
      <c r="AE31" s="121"/>
      <c r="AF31" s="121"/>
      <c r="AG31" s="121"/>
      <c r="AH31" s="121"/>
      <c r="AI31" s="35"/>
    </row>
    <row r="32" spans="1:35" ht="42" customHeight="1">
      <c r="A32" s="384" t="str">
        <f ca="1" t="shared" si="14"/>
        <v>Random selection: Morally permissive</v>
      </c>
      <c r="B32" s="443" t="str">
        <f t="shared" si="15"/>
        <v>No Quality selected.</v>
      </c>
      <c r="C32" s="443"/>
      <c r="D32" s="443"/>
      <c r="E32" s="443"/>
      <c r="F32" s="443"/>
      <c r="G32" s="444"/>
      <c r="H32" s="382"/>
      <c r="K32" s="371">
        <v>1</v>
      </c>
      <c r="L32" s="296" t="s">
        <v>773</v>
      </c>
      <c r="M32" s="372" t="s">
        <v>781</v>
      </c>
      <c r="N32" s="292">
        <v>-2</v>
      </c>
      <c r="O32" s="289"/>
      <c r="P32" s="289"/>
      <c r="Q32" s="289"/>
      <c r="R32" s="289">
        <v>2</v>
      </c>
      <c r="S32" s="297">
        <v>-2</v>
      </c>
      <c r="T32" s="120"/>
      <c r="U32" s="121"/>
      <c r="V32" s="121"/>
      <c r="W32" s="121"/>
      <c r="X32" s="121"/>
      <c r="Y32" s="121"/>
      <c r="Z32" s="121"/>
      <c r="AA32" s="121"/>
      <c r="AB32" s="121"/>
      <c r="AC32" s="121"/>
      <c r="AD32" s="121"/>
      <c r="AE32" s="121"/>
      <c r="AF32" s="121"/>
      <c r="AG32" s="121"/>
      <c r="AH32" s="121"/>
      <c r="AI32" s="35"/>
    </row>
    <row r="33" spans="1:19" s="13" customFormat="1" ht="45.75" customHeight="1">
      <c r="A33" s="384" t="str">
        <f ca="1" t="shared" si="14"/>
        <v>Random selection: Artist's colony</v>
      </c>
      <c r="B33" s="443" t="str">
        <f t="shared" si="15"/>
        <v>No Quality selected.</v>
      </c>
      <c r="C33" s="443"/>
      <c r="D33" s="443"/>
      <c r="E33" s="443"/>
      <c r="F33" s="443"/>
      <c r="G33" s="444"/>
      <c r="H33" s="382"/>
      <c r="I33"/>
      <c r="J33" s="330"/>
      <c r="K33" s="371">
        <v>1</v>
      </c>
      <c r="L33" s="299" t="s">
        <v>402</v>
      </c>
      <c r="M33" s="372" t="s">
        <v>782</v>
      </c>
      <c r="N33" s="292">
        <v>-1</v>
      </c>
      <c r="O33" s="289"/>
      <c r="P33" s="289"/>
      <c r="Q33" s="289">
        <v>3</v>
      </c>
      <c r="R33" s="289"/>
      <c r="S33" s="297">
        <v>-1</v>
      </c>
    </row>
    <row r="34" spans="1:22" ht="12.75">
      <c r="A34" s="385"/>
      <c r="B34" s="228"/>
      <c r="C34" s="228"/>
      <c r="D34" s="228"/>
      <c r="E34" s="228"/>
      <c r="F34" s="228"/>
      <c r="G34" s="361"/>
      <c r="K34" s="371">
        <v>1</v>
      </c>
      <c r="L34" s="296" t="s">
        <v>774</v>
      </c>
      <c r="M34" s="372" t="s">
        <v>783</v>
      </c>
      <c r="N34" s="300">
        <v>2</v>
      </c>
      <c r="O34" s="300">
        <v>-2</v>
      </c>
      <c r="P34" s="300"/>
      <c r="Q34" s="300">
        <v>2</v>
      </c>
      <c r="R34" s="300"/>
      <c r="S34" s="301">
        <v>-2</v>
      </c>
      <c r="V34" s="48"/>
    </row>
    <row r="35" spans="1:22" ht="12.75">
      <c r="A35" s="142"/>
      <c r="B35" s="163" t="s">
        <v>763</v>
      </c>
      <c r="C35" s="163" t="s">
        <v>764</v>
      </c>
      <c r="D35" s="163" t="s">
        <v>765</v>
      </c>
      <c r="E35" s="163" t="s">
        <v>766</v>
      </c>
      <c r="F35" s="163" t="s">
        <v>767</v>
      </c>
      <c r="G35" s="218" t="s">
        <v>768</v>
      </c>
      <c r="K35" s="370">
        <v>1</v>
      </c>
      <c r="L35" s="296" t="s">
        <v>770</v>
      </c>
      <c r="M35" s="372" t="s">
        <v>784</v>
      </c>
      <c r="N35" s="298">
        <v>2</v>
      </c>
      <c r="O35" s="298">
        <v>2</v>
      </c>
      <c r="P35" s="298">
        <v>2</v>
      </c>
      <c r="Q35" s="298">
        <v>-6</v>
      </c>
      <c r="R35" s="298"/>
      <c r="S35" s="302"/>
      <c r="V35" s="48"/>
    </row>
    <row r="36" spans="1:22" ht="13.5" thickBot="1">
      <c r="A36" s="342" t="s">
        <v>950</v>
      </c>
      <c r="B36" s="219">
        <f aca="true" t="shared" si="16" ref="B36:G36">INDEX($N$3:$N$9,$K$3)+INDEX(N27:N37,$K$27)+INDEX(N40:N118,$K$30)+INDEX(N40:N118,$K$31)+INDEX(N40:N118,$K$32)+INDEX(N40:N118,$K$33)+INDEX(N40:N118,$K$34)+INDEX(N40:N118,$K$35)</f>
        <v>-1</v>
      </c>
      <c r="C36" s="219">
        <f t="shared" si="16"/>
        <v>-1</v>
      </c>
      <c r="D36" s="219">
        <f t="shared" si="16"/>
        <v>-1</v>
      </c>
      <c r="E36" s="219">
        <f t="shared" si="16"/>
        <v>-1</v>
      </c>
      <c r="F36" s="219">
        <f t="shared" si="16"/>
        <v>-1</v>
      </c>
      <c r="G36" s="357">
        <f t="shared" si="16"/>
        <v>-1</v>
      </c>
      <c r="L36" s="299" t="s">
        <v>777</v>
      </c>
      <c r="M36" s="372" t="s">
        <v>952</v>
      </c>
      <c r="N36" s="298"/>
      <c r="O36" s="298"/>
      <c r="P36" s="298"/>
      <c r="Q36" s="298"/>
      <c r="R36" s="298"/>
      <c r="S36" s="302"/>
      <c r="V36" s="48"/>
    </row>
    <row r="37" spans="1:22" ht="13.5" thickBot="1">
      <c r="A37" s="142"/>
      <c r="B37" s="124"/>
      <c r="C37" s="124"/>
      <c r="D37" s="124"/>
      <c r="E37" s="124"/>
      <c r="F37" s="124"/>
      <c r="G37" s="143"/>
      <c r="H37" s="20"/>
      <c r="I37" s="20"/>
      <c r="L37" s="303" t="s">
        <v>778</v>
      </c>
      <c r="M37" s="373" t="s">
        <v>785</v>
      </c>
      <c r="N37" s="304">
        <v>2</v>
      </c>
      <c r="O37" s="304">
        <v>2</v>
      </c>
      <c r="P37" s="304">
        <v>3</v>
      </c>
      <c r="Q37" s="304"/>
      <c r="R37" s="304"/>
      <c r="S37" s="305">
        <v>-2</v>
      </c>
      <c r="V37" s="48"/>
    </row>
    <row r="38" spans="1:22" ht="36.75" thickBot="1">
      <c r="A38" s="235" t="s">
        <v>294</v>
      </c>
      <c r="B38" s="241" t="s">
        <v>417</v>
      </c>
      <c r="C38" s="241" t="s">
        <v>753</v>
      </c>
      <c r="D38" s="241" t="s">
        <v>516</v>
      </c>
      <c r="E38" s="242" t="s">
        <v>754</v>
      </c>
      <c r="F38" s="241" t="s">
        <v>418</v>
      </c>
      <c r="G38" s="353" t="s">
        <v>625</v>
      </c>
      <c r="H38" s="312"/>
      <c r="I38" s="312"/>
      <c r="M38" s="308"/>
      <c r="N38" s="291"/>
      <c r="O38" s="291"/>
      <c r="P38" s="291"/>
      <c r="Q38" s="291"/>
      <c r="R38" s="291"/>
      <c r="V38" s="48"/>
    </row>
    <row r="39" spans="1:22" ht="26.25" thickTop="1">
      <c r="A39" s="145" t="s">
        <v>414</v>
      </c>
      <c r="B39" s="236">
        <f>F3*INDEX(Y3:Y9,K3)*INDEX(Y13:Y19,R3)</f>
        <v>152.25600000000003</v>
      </c>
      <c r="C39" s="237">
        <f aca="true" t="shared" si="17" ref="C39:C47">B39/$F$3</f>
        <v>0.6000000000000001</v>
      </c>
      <c r="D39" s="238">
        <f aca="true" t="shared" si="18" ref="D39:D46">ROUND(B39/SUM($B$39:$B$47)*$F$3,0)</f>
        <v>154</v>
      </c>
      <c r="E39" s="238">
        <v>40</v>
      </c>
      <c r="F39" s="240">
        <v>1.75</v>
      </c>
      <c r="G39" s="354">
        <f aca="true" t="shared" si="19" ref="G39:G47">ROUNDUP(D39/F39,0)</f>
        <v>88</v>
      </c>
      <c r="H39" s="238"/>
      <c r="I39" s="238"/>
      <c r="J39" s="328"/>
      <c r="L39" s="374" t="s">
        <v>761</v>
      </c>
      <c r="M39" s="375"/>
      <c r="N39" s="294" t="s">
        <v>763</v>
      </c>
      <c r="O39" s="294" t="s">
        <v>764</v>
      </c>
      <c r="P39" s="294" t="s">
        <v>765</v>
      </c>
      <c r="Q39" s="294" t="s">
        <v>766</v>
      </c>
      <c r="R39" s="294" t="s">
        <v>767</v>
      </c>
      <c r="S39" s="295" t="s">
        <v>768</v>
      </c>
      <c r="V39" s="48"/>
    </row>
    <row r="40" spans="1:22" ht="12.75">
      <c r="A40" s="145" t="s">
        <v>416</v>
      </c>
      <c r="B40" s="236">
        <f>F3*INDEX(AA3:AA9,K3)*INDEX(AA13:AA19,R3)</f>
        <v>18.96856</v>
      </c>
      <c r="C40" s="237">
        <f t="shared" si="17"/>
        <v>0.07475</v>
      </c>
      <c r="D40" s="238">
        <f t="shared" si="18"/>
        <v>19</v>
      </c>
      <c r="E40" s="238">
        <v>5</v>
      </c>
      <c r="F40" s="240">
        <v>1.5</v>
      </c>
      <c r="G40" s="354">
        <f t="shared" si="19"/>
        <v>13</v>
      </c>
      <c r="H40" s="238"/>
      <c r="I40" s="238"/>
      <c r="L40" s="376" t="s">
        <v>866</v>
      </c>
      <c r="M40" s="377" t="s">
        <v>941</v>
      </c>
      <c r="N40" s="298"/>
      <c r="O40" s="298"/>
      <c r="P40" s="298"/>
      <c r="Q40" s="298"/>
      <c r="R40" s="298"/>
      <c r="S40" s="302"/>
      <c r="V40" s="48"/>
    </row>
    <row r="41" spans="1:22" ht="12.75">
      <c r="A41" s="145" t="s">
        <v>415</v>
      </c>
      <c r="B41" s="236">
        <f>F3*INDEX(Z3:Z9,K3)*INDEX(Z13:Z19,R3)</f>
        <v>32.354400000000005</v>
      </c>
      <c r="C41" s="237">
        <f t="shared" si="17"/>
        <v>0.1275</v>
      </c>
      <c r="D41" s="238">
        <f t="shared" si="18"/>
        <v>33</v>
      </c>
      <c r="E41" s="429">
        <v>0.02</v>
      </c>
      <c r="F41" s="240">
        <v>1.25</v>
      </c>
      <c r="G41" s="354">
        <f t="shared" si="19"/>
        <v>27</v>
      </c>
      <c r="H41" s="238"/>
      <c r="I41" s="238"/>
      <c r="J41" s="331"/>
      <c r="L41" s="376" t="s">
        <v>788</v>
      </c>
      <c r="M41" s="372" t="s">
        <v>868</v>
      </c>
      <c r="N41" s="298"/>
      <c r="O41" s="298"/>
      <c r="P41" s="298">
        <v>1</v>
      </c>
      <c r="Q41" s="298"/>
      <c r="R41" s="298"/>
      <c r="S41" s="302"/>
      <c r="V41" s="48"/>
    </row>
    <row r="42" spans="1:19" ht="12.75">
      <c r="A42" s="145" t="s">
        <v>622</v>
      </c>
      <c r="B42" s="236">
        <f>SUM(D81:D94)+SUM(D106:D118)+SUM(D130:D133)</f>
        <v>27</v>
      </c>
      <c r="C42" s="237">
        <f t="shared" si="17"/>
        <v>0.1063997477931904</v>
      </c>
      <c r="D42" s="238">
        <f t="shared" si="18"/>
        <v>27</v>
      </c>
      <c r="E42" s="429">
        <v>0.075</v>
      </c>
      <c r="F42" s="240">
        <v>2</v>
      </c>
      <c r="G42" s="354">
        <f t="shared" si="19"/>
        <v>14</v>
      </c>
      <c r="H42" s="238"/>
      <c r="I42" s="238"/>
      <c r="J42" s="332"/>
      <c r="L42" s="376" t="s">
        <v>789</v>
      </c>
      <c r="M42" s="372" t="s">
        <v>869</v>
      </c>
      <c r="N42" s="298">
        <v>2</v>
      </c>
      <c r="O42" s="298"/>
      <c r="P42" s="298"/>
      <c r="Q42" s="298">
        <v>1</v>
      </c>
      <c r="R42" s="298"/>
      <c r="S42" s="302">
        <v>-2</v>
      </c>
    </row>
    <row r="43" spans="1:19" ht="12.75">
      <c r="A43" s="145" t="s">
        <v>623</v>
      </c>
      <c r="B43" s="236">
        <f>SUM(D73:D78)+SUM(D98:D103)+SUM(D122:D127)</f>
        <v>4</v>
      </c>
      <c r="C43" s="237">
        <f t="shared" si="17"/>
        <v>0.015762925598991173</v>
      </c>
      <c r="D43" s="238">
        <f t="shared" si="18"/>
        <v>4</v>
      </c>
      <c r="E43" s="429">
        <v>0.05</v>
      </c>
      <c r="F43" s="240">
        <v>2</v>
      </c>
      <c r="G43" s="354">
        <f t="shared" si="19"/>
        <v>2</v>
      </c>
      <c r="H43" s="238"/>
      <c r="I43" s="238"/>
      <c r="J43" s="333"/>
      <c r="L43" s="376" t="s">
        <v>790</v>
      </c>
      <c r="M43" s="372" t="s">
        <v>870</v>
      </c>
      <c r="N43" s="298"/>
      <c r="O43" s="298"/>
      <c r="P43" s="298"/>
      <c r="Q43" s="298"/>
      <c r="R43" s="298">
        <v>1</v>
      </c>
      <c r="S43" s="302"/>
    </row>
    <row r="44" spans="1:19" s="13" customFormat="1" ht="12.75">
      <c r="A44" s="145" t="s">
        <v>1046</v>
      </c>
      <c r="B44" s="236">
        <f>F3*INDEX(AH3:AH9,K3)*INDEX(AH13:AH19,R3)</f>
        <v>6.344000000000001</v>
      </c>
      <c r="C44" s="237">
        <f t="shared" si="17"/>
        <v>0.025</v>
      </c>
      <c r="D44" s="238">
        <f t="shared" si="18"/>
        <v>6</v>
      </c>
      <c r="E44" s="429">
        <f>0.2*F44/20</f>
        <v>0.2</v>
      </c>
      <c r="F44" s="240">
        <v>20</v>
      </c>
      <c r="G44" s="354">
        <f t="shared" si="19"/>
        <v>1</v>
      </c>
      <c r="H44" s="238"/>
      <c r="I44" s="238"/>
      <c r="J44" s="333"/>
      <c r="L44" s="376" t="s">
        <v>791</v>
      </c>
      <c r="M44" s="372" t="s">
        <v>871</v>
      </c>
      <c r="N44" s="298"/>
      <c r="O44" s="298"/>
      <c r="P44" s="298"/>
      <c r="Q44" s="298"/>
      <c r="R44" s="298"/>
      <c r="S44" s="302">
        <v>2</v>
      </c>
    </row>
    <row r="45" spans="1:19" ht="12.75">
      <c r="A45" s="145" t="s">
        <v>987</v>
      </c>
      <c r="B45" s="236">
        <f>A141</f>
        <v>6</v>
      </c>
      <c r="C45" s="237">
        <f t="shared" si="17"/>
        <v>0.023644388398486756</v>
      </c>
      <c r="D45" s="238">
        <f t="shared" si="18"/>
        <v>6</v>
      </c>
      <c r="E45" s="429">
        <f>IF(G45=0,0.1,0.1*F45+0.002*B12/G45)</f>
        <v>0.45400000000000007</v>
      </c>
      <c r="F45" s="240">
        <v>3</v>
      </c>
      <c r="G45" s="354">
        <f t="shared" si="19"/>
        <v>2</v>
      </c>
      <c r="H45" s="238"/>
      <c r="I45" s="238"/>
      <c r="J45" s="333"/>
      <c r="L45" s="376" t="s">
        <v>792</v>
      </c>
      <c r="M45" s="372" t="s">
        <v>949</v>
      </c>
      <c r="N45" s="300"/>
      <c r="O45" s="300"/>
      <c r="P45" s="300">
        <v>-1</v>
      </c>
      <c r="Q45" s="300"/>
      <c r="R45" s="300">
        <v>1</v>
      </c>
      <c r="S45" s="301"/>
    </row>
    <row r="46" spans="1:19" ht="12.75">
      <c r="A46" s="145" t="s">
        <v>988</v>
      </c>
      <c r="B46" s="236">
        <f>E172</f>
        <v>3</v>
      </c>
      <c r="C46" s="237">
        <f t="shared" si="17"/>
        <v>0.011822194199243378</v>
      </c>
      <c r="D46" s="238">
        <f t="shared" si="18"/>
        <v>3</v>
      </c>
      <c r="E46" s="429">
        <f>0.1*F46</f>
        <v>0.125</v>
      </c>
      <c r="F46" s="240">
        <v>1.25</v>
      </c>
      <c r="G46" s="354">
        <f t="shared" si="19"/>
        <v>3</v>
      </c>
      <c r="H46" s="238"/>
      <c r="I46" s="238"/>
      <c r="J46" s="333"/>
      <c r="L46" s="376" t="s">
        <v>793</v>
      </c>
      <c r="M46" s="372" t="s">
        <v>872</v>
      </c>
      <c r="N46" s="298"/>
      <c r="O46" s="298"/>
      <c r="P46" s="298">
        <v>2</v>
      </c>
      <c r="Q46" s="298"/>
      <c r="R46" s="298"/>
      <c r="S46" s="302"/>
    </row>
    <row r="47" spans="1:19" ht="12.75">
      <c r="A47" s="347" t="s">
        <v>68</v>
      </c>
      <c r="B47" s="420">
        <f>F3*INDEX(AG3:AG9,K3)*INDEX(AG13:AG19,R3)</f>
        <v>0.7105280000000002</v>
      </c>
      <c r="C47" s="422">
        <f t="shared" si="17"/>
        <v>0.0028000000000000004</v>
      </c>
      <c r="D47" s="423">
        <f>ROUNDUP(F3-SUM(D39:D46),0)</f>
        <v>2</v>
      </c>
      <c r="E47" s="430">
        <v>0.01</v>
      </c>
      <c r="F47" s="424">
        <v>1</v>
      </c>
      <c r="G47" s="425">
        <f t="shared" si="19"/>
        <v>2</v>
      </c>
      <c r="H47" s="313"/>
      <c r="I47" s="313"/>
      <c r="J47" s="333"/>
      <c r="L47" s="376" t="s">
        <v>794</v>
      </c>
      <c r="M47" s="372" t="s">
        <v>873</v>
      </c>
      <c r="N47" s="298"/>
      <c r="O47" s="298"/>
      <c r="P47" s="298">
        <v>1</v>
      </c>
      <c r="Q47" s="298"/>
      <c r="R47" s="298"/>
      <c r="S47" s="302">
        <v>1</v>
      </c>
    </row>
    <row r="48" spans="1:19" ht="12.75">
      <c r="A48" s="252"/>
      <c r="B48" s="253"/>
      <c r="C48" s="253"/>
      <c r="D48" s="253"/>
      <c r="E48" s="253"/>
      <c r="F48" s="253"/>
      <c r="G48" s="351"/>
      <c r="H48" s="253"/>
      <c r="I48" s="253"/>
      <c r="J48" s="333"/>
      <c r="L48" s="376" t="s">
        <v>795</v>
      </c>
      <c r="M48" s="372" t="s">
        <v>874</v>
      </c>
      <c r="N48" s="298"/>
      <c r="O48" s="298"/>
      <c r="P48" s="298"/>
      <c r="Q48" s="298"/>
      <c r="R48" s="298">
        <v>1</v>
      </c>
      <c r="S48" s="302">
        <v>-2</v>
      </c>
    </row>
    <row r="49" spans="1:19" ht="24.75" thickBot="1">
      <c r="A49" s="405" t="s">
        <v>970</v>
      </c>
      <c r="B49" s="406" t="s">
        <v>978</v>
      </c>
      <c r="C49" s="407" t="s">
        <v>754</v>
      </c>
      <c r="D49" s="408" t="s">
        <v>625</v>
      </c>
      <c r="E49" s="3"/>
      <c r="F49" s="410"/>
      <c r="G49" s="411"/>
      <c r="J49" s="333"/>
      <c r="L49" s="376" t="s">
        <v>796</v>
      </c>
      <c r="M49" s="372" t="s">
        <v>875</v>
      </c>
      <c r="N49" s="298"/>
      <c r="O49" s="298"/>
      <c r="P49" s="298"/>
      <c r="Q49" s="298"/>
      <c r="R49" s="298">
        <v>1</v>
      </c>
      <c r="S49" s="302">
        <v>1</v>
      </c>
    </row>
    <row r="50" spans="1:19" ht="13.5" thickTop="1">
      <c r="A50" s="145" t="s">
        <v>971</v>
      </c>
      <c r="B50" s="233">
        <v>0.0001</v>
      </c>
      <c r="C50" s="238">
        <v>0.025</v>
      </c>
      <c r="D50" s="243">
        <f ca="1">TRUNC(B50*$F$3)+IF(RAND()&gt;MOD(B50*$F$3,1),0,1)</f>
        <v>0</v>
      </c>
      <c r="E50" s="146">
        <f>IF(D50&gt;0,A50,"")</f>
      </c>
      <c r="F50" s="245"/>
      <c r="G50" s="143"/>
      <c r="J50" s="333"/>
      <c r="L50" s="376" t="s">
        <v>797</v>
      </c>
      <c r="M50" s="372" t="s">
        <v>876</v>
      </c>
      <c r="N50" s="298"/>
      <c r="O50" s="298"/>
      <c r="P50" s="298">
        <v>-2</v>
      </c>
      <c r="Q50" s="298">
        <v>1</v>
      </c>
      <c r="R50" s="298">
        <v>2</v>
      </c>
      <c r="S50" s="302"/>
    </row>
    <row r="51" spans="1:19" s="13" customFormat="1" ht="12.75">
      <c r="A51" s="145" t="s">
        <v>983</v>
      </c>
      <c r="B51" s="233">
        <v>0.001</v>
      </c>
      <c r="C51" s="429">
        <f>IF(D51=0,0.001,0.001*$F$3/D51)</f>
        <v>0.25376000000000004</v>
      </c>
      <c r="D51" s="243">
        <f ca="1">TRUNC(B51*$F$3)+IF(RAND()&gt;MOD(B51*$F$3,1),0,1)</f>
        <v>1</v>
      </c>
      <c r="E51" s="146" t="str">
        <f>IF(D51&gt;0,A51,"")</f>
        <v>Market districts, squares, etc.</v>
      </c>
      <c r="F51" s="239"/>
      <c r="G51" s="143"/>
      <c r="H51"/>
      <c r="I51"/>
      <c r="J51" s="333"/>
      <c r="L51" s="376" t="s">
        <v>798</v>
      </c>
      <c r="M51" s="372" t="s">
        <v>877</v>
      </c>
      <c r="N51" s="298">
        <v>1</v>
      </c>
      <c r="O51" s="298">
        <v>-3</v>
      </c>
      <c r="P51" s="298"/>
      <c r="Q51" s="298">
        <v>2</v>
      </c>
      <c r="R51" s="298"/>
      <c r="S51" s="302">
        <v>-2</v>
      </c>
    </row>
    <row r="52" spans="1:19" ht="12.75">
      <c r="A52" s="145" t="s">
        <v>458</v>
      </c>
      <c r="B52" s="233">
        <v>0.0002</v>
      </c>
      <c r="C52" s="429">
        <v>0.2</v>
      </c>
      <c r="D52" s="243">
        <f ca="1">TRUNC(B52*$F$3)+IF(RAND()&gt;MOD(B52*$F$3,1),0,1)</f>
        <v>0</v>
      </c>
      <c r="E52" s="146">
        <f>IF(D52&gt;0,A52,"")</f>
      </c>
      <c r="F52" s="239"/>
      <c r="G52" s="143"/>
      <c r="J52" s="331"/>
      <c r="L52" s="376" t="s">
        <v>799</v>
      </c>
      <c r="M52" s="372" t="s">
        <v>878</v>
      </c>
      <c r="N52" s="300"/>
      <c r="O52" s="300"/>
      <c r="P52" s="300"/>
      <c r="Q52" s="300">
        <v>-1</v>
      </c>
      <c r="R52" s="300"/>
      <c r="S52" s="301">
        <v>1</v>
      </c>
    </row>
    <row r="53" spans="1:19" ht="12.75">
      <c r="A53" s="347" t="s">
        <v>258</v>
      </c>
      <c r="B53" s="419">
        <f>D53/$F$3</f>
        <v>0.015762925598991173</v>
      </c>
      <c r="C53" s="430">
        <v>0.005</v>
      </c>
      <c r="D53" s="420">
        <f>A153</f>
        <v>4</v>
      </c>
      <c r="E53" s="416" t="str">
        <f>IF(D53&gt;0,A53,"")</f>
        <v>Shrines</v>
      </c>
      <c r="F53" s="421"/>
      <c r="G53" s="418"/>
      <c r="L53" s="376" t="s">
        <v>800</v>
      </c>
      <c r="M53" s="372" t="s">
        <v>879</v>
      </c>
      <c r="N53" s="300"/>
      <c r="O53" s="300">
        <v>-1</v>
      </c>
      <c r="P53" s="298">
        <v>1</v>
      </c>
      <c r="Q53" s="298"/>
      <c r="R53" s="298"/>
      <c r="S53" s="302"/>
    </row>
    <row r="54" spans="1:19" ht="12.75">
      <c r="A54" s="142"/>
      <c r="B54" s="124"/>
      <c r="C54" s="124"/>
      <c r="D54" s="124"/>
      <c r="E54" s="124"/>
      <c r="F54" s="124"/>
      <c r="G54" s="143"/>
      <c r="L54" s="376" t="s">
        <v>801</v>
      </c>
      <c r="M54" s="372" t="s">
        <v>880</v>
      </c>
      <c r="N54" s="300">
        <v>1</v>
      </c>
      <c r="O54" s="300">
        <v>1</v>
      </c>
      <c r="P54" s="298">
        <v>1</v>
      </c>
      <c r="Q54" s="298"/>
      <c r="R54" s="298"/>
      <c r="S54" s="302">
        <v>1</v>
      </c>
    </row>
    <row r="55" spans="1:19" ht="24.75" thickBot="1">
      <c r="A55" s="405" t="s">
        <v>968</v>
      </c>
      <c r="B55" s="406" t="s">
        <v>978</v>
      </c>
      <c r="C55" s="407" t="s">
        <v>754</v>
      </c>
      <c r="D55" s="408" t="s">
        <v>625</v>
      </c>
      <c r="E55" s="409"/>
      <c r="F55" s="410"/>
      <c r="G55" s="411"/>
      <c r="H55" s="253"/>
      <c r="I55" s="253"/>
      <c r="L55" s="376" t="s">
        <v>802</v>
      </c>
      <c r="M55" s="372" t="s">
        <v>881</v>
      </c>
      <c r="N55" s="298"/>
      <c r="O55" s="298">
        <v>-2</v>
      </c>
      <c r="P55" s="298"/>
      <c r="Q55" s="298">
        <v>2</v>
      </c>
      <c r="R55" s="298"/>
      <c r="S55" s="302">
        <v>-2</v>
      </c>
    </row>
    <row r="56" spans="1:19" s="13" customFormat="1" ht="13.5" thickTop="1">
      <c r="A56" s="412" t="s">
        <v>980</v>
      </c>
      <c r="B56" s="124"/>
      <c r="C56" s="124"/>
      <c r="D56" s="124"/>
      <c r="E56" s="124"/>
      <c r="F56" s="124"/>
      <c r="G56" s="143"/>
      <c r="H56"/>
      <c r="I56"/>
      <c r="J56" s="320"/>
      <c r="L56" s="376" t="s">
        <v>803</v>
      </c>
      <c r="M56" s="372" t="s">
        <v>882</v>
      </c>
      <c r="N56" s="298">
        <v>1</v>
      </c>
      <c r="O56" s="298">
        <v>1</v>
      </c>
      <c r="P56" s="298">
        <v>2</v>
      </c>
      <c r="Q56" s="298"/>
      <c r="R56" s="298"/>
      <c r="S56" s="302">
        <v>-1</v>
      </c>
    </row>
    <row r="57" spans="1:19" ht="12.75">
      <c r="A57" s="145" t="s">
        <v>289</v>
      </c>
      <c r="B57" s="233">
        <v>0.0003</v>
      </c>
      <c r="C57" s="238">
        <v>1</v>
      </c>
      <c r="D57" s="243">
        <f ca="1">TRUNC(B57*$F$3)+IF(RAND()&gt;MOD(B57*$F$3,1),0,1)</f>
        <v>0</v>
      </c>
      <c r="E57" s="146">
        <f>IF(D57&gt;0,A57,"")</f>
      </c>
      <c r="F57" s="245"/>
      <c r="G57" s="143"/>
      <c r="L57" s="376" t="s">
        <v>804</v>
      </c>
      <c r="M57" s="372" t="s">
        <v>883</v>
      </c>
      <c r="N57" s="300"/>
      <c r="O57" s="300"/>
      <c r="P57" s="300"/>
      <c r="Q57" s="300">
        <v>-1</v>
      </c>
      <c r="R57" s="300"/>
      <c r="S57" s="301">
        <v>1</v>
      </c>
    </row>
    <row r="58" spans="1:19" ht="12.75">
      <c r="A58" s="229" t="s">
        <v>969</v>
      </c>
      <c r="B58" s="234">
        <v>0.0008</v>
      </c>
      <c r="C58" s="431">
        <v>0.25</v>
      </c>
      <c r="D58" s="244">
        <f ca="1">TRUNC(B58*$F$3)+IF(RAND()&gt;MOD(B58*$F$3,1),0,1)</f>
        <v>0</v>
      </c>
      <c r="E58" s="230">
        <f>IF(D58&gt;0,A58,"")</f>
      </c>
      <c r="F58" s="246"/>
      <c r="G58" s="362"/>
      <c r="L58" s="376" t="s">
        <v>805</v>
      </c>
      <c r="M58" s="372" t="s">
        <v>936</v>
      </c>
      <c r="N58" s="298"/>
      <c r="O58" s="298"/>
      <c r="P58" s="298"/>
      <c r="Q58" s="298"/>
      <c r="R58" s="298"/>
      <c r="S58" s="302"/>
    </row>
    <row r="59" spans="1:19" ht="12.75">
      <c r="A59" s="412" t="s">
        <v>981</v>
      </c>
      <c r="B59" s="124"/>
      <c r="C59" s="124"/>
      <c r="D59" s="124"/>
      <c r="E59" s="124"/>
      <c r="F59" s="124"/>
      <c r="G59" s="143"/>
      <c r="J59" s="331"/>
      <c r="L59" s="376" t="s">
        <v>806</v>
      </c>
      <c r="M59" s="372" t="s">
        <v>934</v>
      </c>
      <c r="N59" s="298"/>
      <c r="O59" s="298"/>
      <c r="P59" s="298"/>
      <c r="Q59" s="298"/>
      <c r="R59" s="298">
        <v>2</v>
      </c>
      <c r="S59" s="302"/>
    </row>
    <row r="60" spans="1:19" ht="12.75">
      <c r="A60" s="145" t="s">
        <v>284</v>
      </c>
      <c r="B60" s="233">
        <v>0.0003</v>
      </c>
      <c r="C60" s="238">
        <v>1</v>
      </c>
      <c r="D60" s="243">
        <f ca="1">TRUNC(B60*$F$3)+IF(RAND()&gt;MOD(B60*$F$3,1),0,1)</f>
        <v>0</v>
      </c>
      <c r="E60" s="146">
        <f>IF(D60&gt;0,A60,"")</f>
      </c>
      <c r="F60" s="245"/>
      <c r="G60" s="143"/>
      <c r="H60" s="122"/>
      <c r="I60" s="122"/>
      <c r="L60" s="376" t="s">
        <v>807</v>
      </c>
      <c r="M60" s="372" t="s">
        <v>935</v>
      </c>
      <c r="N60" s="298"/>
      <c r="O60" s="298"/>
      <c r="P60" s="298">
        <v>1</v>
      </c>
      <c r="Q60" s="298"/>
      <c r="R60" s="298"/>
      <c r="S60" s="302"/>
    </row>
    <row r="61" spans="1:19" s="13" customFormat="1" ht="12.75">
      <c r="A61" s="347" t="s">
        <v>979</v>
      </c>
      <c r="B61" s="413">
        <v>0.0001</v>
      </c>
      <c r="C61" s="414">
        <v>10</v>
      </c>
      <c r="D61" s="415">
        <f ca="1">TRUNC(B61*$F$3)+IF(RAND()&gt;MOD(B61*$F$3,1),0,1)</f>
        <v>0</v>
      </c>
      <c r="E61" s="416">
        <f>IF(D61&gt;0,A61,"")</f>
      </c>
      <c r="F61" s="417"/>
      <c r="G61" s="418"/>
      <c r="J61" s="320"/>
      <c r="L61" s="376" t="s">
        <v>808</v>
      </c>
      <c r="M61" s="372" t="s">
        <v>884</v>
      </c>
      <c r="N61" s="298"/>
      <c r="O61" s="298"/>
      <c r="P61" s="298">
        <v>2</v>
      </c>
      <c r="Q61" s="298">
        <v>1</v>
      </c>
      <c r="R61" s="298"/>
      <c r="S61" s="302"/>
    </row>
    <row r="62" spans="1:19" ht="12.75">
      <c r="A62" s="142"/>
      <c r="B62" s="124"/>
      <c r="C62" s="124"/>
      <c r="D62" s="124"/>
      <c r="E62" s="124"/>
      <c r="F62" s="124"/>
      <c r="G62" s="143"/>
      <c r="L62" s="376" t="s">
        <v>809</v>
      </c>
      <c r="M62" s="372" t="s">
        <v>885</v>
      </c>
      <c r="N62" s="300"/>
      <c r="O62" s="300">
        <v>2</v>
      </c>
      <c r="P62" s="300"/>
      <c r="Q62" s="300">
        <v>-2</v>
      </c>
      <c r="R62" s="300"/>
      <c r="S62" s="301"/>
    </row>
    <row r="63" spans="1:19" ht="24.75" thickBot="1">
      <c r="A63" s="405" t="s">
        <v>967</v>
      </c>
      <c r="B63" s="406" t="s">
        <v>978</v>
      </c>
      <c r="C63" s="407" t="s">
        <v>976</v>
      </c>
      <c r="D63" s="408" t="s">
        <v>977</v>
      </c>
      <c r="E63" s="3"/>
      <c r="F63" s="410"/>
      <c r="G63" s="411"/>
      <c r="L63" s="376" t="s">
        <v>810</v>
      </c>
      <c r="M63" s="372" t="s">
        <v>886</v>
      </c>
      <c r="N63" s="298">
        <v>2</v>
      </c>
      <c r="O63" s="298">
        <v>2</v>
      </c>
      <c r="P63" s="298">
        <v>2</v>
      </c>
      <c r="Q63" s="298">
        <v>-1</v>
      </c>
      <c r="R63" s="298"/>
      <c r="S63" s="302"/>
    </row>
    <row r="64" spans="1:19" ht="13.5" thickTop="1">
      <c r="A64" s="145" t="s">
        <v>984</v>
      </c>
      <c r="B64" s="233">
        <v>0.0002</v>
      </c>
      <c r="C64" s="238">
        <f>IF(D64=0,1,ROUNDUP(((K3/2)^3)/D64,0))</f>
        <v>1</v>
      </c>
      <c r="D64" s="243">
        <f ca="1">TRUNC(B64*$F$3)+IF(RAND()&gt;MOD(B64*$F$3,1),0,1)</f>
        <v>0</v>
      </c>
      <c r="E64" s="146">
        <f aca="true" t="shared" si="20" ref="E64:E70">IF(D64&gt;0,A64,"")</f>
      </c>
      <c r="F64" s="239"/>
      <c r="G64" s="143"/>
      <c r="J64" s="334"/>
      <c r="L64" s="376" t="s">
        <v>811</v>
      </c>
      <c r="M64" s="372" t="s">
        <v>942</v>
      </c>
      <c r="N64" s="298">
        <v>-2</v>
      </c>
      <c r="O64" s="298"/>
      <c r="P64" s="298"/>
      <c r="Q64" s="298"/>
      <c r="R64" s="298"/>
      <c r="S64" s="302">
        <v>-2</v>
      </c>
    </row>
    <row r="65" spans="1:19" ht="12.75">
      <c r="A65" s="145" t="s">
        <v>985</v>
      </c>
      <c r="B65" s="233">
        <v>0.01</v>
      </c>
      <c r="C65" s="429">
        <v>0.25</v>
      </c>
      <c r="D65" s="243">
        <f aca="true" ca="1" t="shared" si="21" ref="D65:D70">TRUNC(B65*$F$3)+IF(RAND()&gt;MOD(B65*$F$3,1),0,1)</f>
        <v>3</v>
      </c>
      <c r="E65" s="146" t="str">
        <f t="shared" si="20"/>
        <v>Roads / Bridges within the urban core</v>
      </c>
      <c r="F65" s="239"/>
      <c r="G65" s="143"/>
      <c r="L65" s="376" t="s">
        <v>812</v>
      </c>
      <c r="M65" s="372" t="s">
        <v>887</v>
      </c>
      <c r="N65" s="298"/>
      <c r="O65" s="298"/>
      <c r="P65" s="298">
        <v>2</v>
      </c>
      <c r="Q65" s="298"/>
      <c r="R65" s="298"/>
      <c r="S65" s="302"/>
    </row>
    <row r="66" spans="1:19" ht="12.75">
      <c r="A66" s="145" t="s">
        <v>986</v>
      </c>
      <c r="B66" s="233">
        <v>0.0001</v>
      </c>
      <c r="C66" s="238">
        <f>IF(D66=0,1,ROUNDUP(((K3/2)^3)/D66,0))</f>
        <v>1</v>
      </c>
      <c r="D66" s="243">
        <f ca="1" t="shared" si="21"/>
        <v>0</v>
      </c>
      <c r="E66" s="146">
        <f t="shared" si="20"/>
      </c>
      <c r="F66" s="239"/>
      <c r="G66" s="143"/>
      <c r="L66" s="376" t="s">
        <v>813</v>
      </c>
      <c r="M66" s="372" t="s">
        <v>888</v>
      </c>
      <c r="N66" s="298">
        <v>1</v>
      </c>
      <c r="O66" s="298"/>
      <c r="P66" s="298">
        <v>1</v>
      </c>
      <c r="Q66" s="298"/>
      <c r="R66" s="298">
        <v>-1</v>
      </c>
      <c r="S66" s="302"/>
    </row>
    <row r="67" spans="1:19" ht="12.75">
      <c r="A67" s="145" t="s">
        <v>288</v>
      </c>
      <c r="B67" s="233">
        <v>0.0001</v>
      </c>
      <c r="C67" s="245"/>
      <c r="D67" s="243">
        <f ca="1" t="shared" si="21"/>
        <v>1</v>
      </c>
      <c r="E67" s="146" t="str">
        <f t="shared" si="20"/>
        <v>Settlement fortifications</v>
      </c>
      <c r="F67" s="245"/>
      <c r="G67" s="143"/>
      <c r="H67" s="119"/>
      <c r="I67" s="119"/>
      <c r="L67" s="376" t="s">
        <v>814</v>
      </c>
      <c r="M67" s="372" t="s">
        <v>889</v>
      </c>
      <c r="N67" s="298">
        <v>-2</v>
      </c>
      <c r="O67" s="298"/>
      <c r="P67" s="298"/>
      <c r="Q67" s="298"/>
      <c r="R67" s="298"/>
      <c r="S67" s="302"/>
    </row>
    <row r="68" spans="1:19" ht="12.75">
      <c r="A68" s="142" t="s">
        <v>285</v>
      </c>
      <c r="B68" s="233">
        <v>0.0008</v>
      </c>
      <c r="C68" s="245"/>
      <c r="D68" s="243">
        <f ca="1" t="shared" si="21"/>
        <v>0</v>
      </c>
      <c r="E68" s="146">
        <f t="shared" si="20"/>
      </c>
      <c r="F68" s="245"/>
      <c r="G68" s="143"/>
      <c r="L68" s="376" t="s">
        <v>815</v>
      </c>
      <c r="M68" s="372" t="s">
        <v>890</v>
      </c>
      <c r="N68" s="298"/>
      <c r="O68" s="298">
        <v>-1</v>
      </c>
      <c r="P68" s="298"/>
      <c r="Q68" s="298">
        <v>1</v>
      </c>
      <c r="R68" s="298"/>
      <c r="S68" s="302"/>
    </row>
    <row r="69" spans="1:19" ht="12.75">
      <c r="A69" s="142" t="s">
        <v>286</v>
      </c>
      <c r="B69" s="233">
        <v>0.0002</v>
      </c>
      <c r="C69" s="245"/>
      <c r="D69" s="243">
        <f ca="1" t="shared" si="21"/>
        <v>0</v>
      </c>
      <c r="E69" s="146">
        <f t="shared" si="20"/>
      </c>
      <c r="F69" s="245"/>
      <c r="G69" s="143"/>
      <c r="J69" s="335"/>
      <c r="L69" s="376" t="s">
        <v>816</v>
      </c>
      <c r="M69" s="372" t="s">
        <v>891</v>
      </c>
      <c r="N69" s="298"/>
      <c r="O69" s="298">
        <v>2</v>
      </c>
      <c r="P69" s="298">
        <v>2</v>
      </c>
      <c r="Q69" s="298"/>
      <c r="R69" s="298"/>
      <c r="S69" s="302"/>
    </row>
    <row r="70" spans="1:19" ht="13.5" thickBot="1">
      <c r="A70" s="149" t="s">
        <v>287</v>
      </c>
      <c r="B70" s="247">
        <v>0.0018</v>
      </c>
      <c r="C70" s="432">
        <v>0.1</v>
      </c>
      <c r="D70" s="249">
        <f ca="1" t="shared" si="21"/>
        <v>0</v>
      </c>
      <c r="E70" s="232">
        <f t="shared" si="20"/>
      </c>
      <c r="F70" s="248"/>
      <c r="G70" s="341"/>
      <c r="L70" s="376" t="s">
        <v>817</v>
      </c>
      <c r="M70" s="372" t="s">
        <v>892</v>
      </c>
      <c r="N70" s="298"/>
      <c r="O70" s="298">
        <v>-2</v>
      </c>
      <c r="P70" s="298">
        <v>-4</v>
      </c>
      <c r="Q70" s="298"/>
      <c r="R70" s="298">
        <v>1</v>
      </c>
      <c r="S70" s="302">
        <v>2</v>
      </c>
    </row>
    <row r="71" spans="1:19" ht="13.5" thickBot="1">
      <c r="A71" s="147"/>
      <c r="B71" s="1"/>
      <c r="C71" s="1"/>
      <c r="D71" s="1"/>
      <c r="E71" s="1"/>
      <c r="F71" s="1"/>
      <c r="G71" s="340"/>
      <c r="H71" s="124"/>
      <c r="I71" s="124"/>
      <c r="L71" s="376" t="s">
        <v>818</v>
      </c>
      <c r="M71" s="372" t="s">
        <v>943</v>
      </c>
      <c r="N71" s="298"/>
      <c r="O71" s="298"/>
      <c r="P71" s="298"/>
      <c r="Q71" s="298"/>
      <c r="R71" s="298"/>
      <c r="S71" s="302"/>
    </row>
    <row r="72" spans="1:19" ht="24.75" thickBot="1">
      <c r="A72" s="250" t="s">
        <v>434</v>
      </c>
      <c r="B72" s="254" t="s">
        <v>513</v>
      </c>
      <c r="C72" s="254" t="s">
        <v>393</v>
      </c>
      <c r="D72" s="241" t="s">
        <v>755</v>
      </c>
      <c r="E72" s="256"/>
      <c r="F72" s="364"/>
      <c r="G72" s="340"/>
      <c r="L72" s="376" t="s">
        <v>819</v>
      </c>
      <c r="M72" s="372" t="s">
        <v>893</v>
      </c>
      <c r="N72" s="298"/>
      <c r="O72" s="298"/>
      <c r="P72" s="298"/>
      <c r="Q72" s="298"/>
      <c r="R72" s="298"/>
      <c r="S72" s="302"/>
    </row>
    <row r="73" spans="1:19" ht="13.5" thickTop="1">
      <c r="A73" s="381" t="s">
        <v>425</v>
      </c>
      <c r="B73" s="237">
        <v>0.03</v>
      </c>
      <c r="C73" s="233">
        <f aca="true" t="shared" si="22" ref="C73:C78">B73*$C$95</f>
        <v>0.002925</v>
      </c>
      <c r="D73" s="243">
        <f aca="true" ca="1" t="shared" si="23" ref="D73:D78">TRUNC(C73*$F$3)+IF(RAND()&gt;MOD(C73*$F$3,1),0,1)</f>
        <v>0</v>
      </c>
      <c r="E73" s="146">
        <f>IF(D73&gt;0,A73,"")</f>
      </c>
      <c r="F73" s="245"/>
      <c r="G73" s="143"/>
      <c r="H73" s="337" t="s">
        <v>10</v>
      </c>
      <c r="I73" s="12"/>
      <c r="L73" s="376" t="s">
        <v>820</v>
      </c>
      <c r="M73" s="372" t="s">
        <v>894</v>
      </c>
      <c r="N73" s="298"/>
      <c r="O73" s="298"/>
      <c r="P73" s="298">
        <v>1</v>
      </c>
      <c r="Q73" s="298"/>
      <c r="R73" s="298">
        <v>1</v>
      </c>
      <c r="S73" s="302">
        <v>1</v>
      </c>
    </row>
    <row r="74" spans="1:19" ht="12.75">
      <c r="A74" s="381" t="s">
        <v>484</v>
      </c>
      <c r="B74" s="237">
        <v>0.03</v>
      </c>
      <c r="C74" s="233">
        <f t="shared" si="22"/>
        <v>0.002925</v>
      </c>
      <c r="D74" s="243">
        <f ca="1" t="shared" si="23"/>
        <v>0</v>
      </c>
      <c r="E74" s="146">
        <f>IF(D74&gt;0,A74&amp;" --------&gt;","")</f>
      </c>
      <c r="F74" s="245"/>
      <c r="G74" s="143"/>
      <c r="H74" s="253" t="str">
        <f>INDEX('Data_Inns names'!B$6:B$97,I74)</f>
        <v>Lamplighter Inn</v>
      </c>
      <c r="I74" s="14">
        <f aca="true" ca="1" t="shared" si="24" ref="I74:I79">INT(RAND()*92)</f>
        <v>7</v>
      </c>
      <c r="L74" s="376" t="s">
        <v>821</v>
      </c>
      <c r="M74" s="372" t="s">
        <v>951</v>
      </c>
      <c r="N74" s="298"/>
      <c r="O74" s="298"/>
      <c r="P74" s="298"/>
      <c r="Q74" s="298"/>
      <c r="R74" s="298"/>
      <c r="S74" s="302"/>
    </row>
    <row r="75" spans="1:19" ht="12.75">
      <c r="A75" s="381" t="s">
        <v>485</v>
      </c>
      <c r="B75" s="237">
        <v>0.03</v>
      </c>
      <c r="C75" s="233">
        <f t="shared" si="22"/>
        <v>0.002925</v>
      </c>
      <c r="D75" s="243">
        <f ca="1" t="shared" si="23"/>
        <v>1</v>
      </c>
      <c r="E75" s="146" t="str">
        <f>IF(D75&gt;0,A75,"")</f>
        <v>Inn (Barkeep)</v>
      </c>
      <c r="F75" s="245"/>
      <c r="G75" s="143"/>
      <c r="H75" s="253" t="str">
        <f>INDEX('Data_Inns names'!B$6:B$97,I75)</f>
        <v>Inn of the welcome wench</v>
      </c>
      <c r="I75" s="14">
        <f ca="1" t="shared" si="24"/>
        <v>64</v>
      </c>
      <c r="J75" s="319"/>
      <c r="L75" s="376" t="s">
        <v>822</v>
      </c>
      <c r="M75" s="372" t="s">
        <v>895</v>
      </c>
      <c r="N75" s="298"/>
      <c r="O75" s="298"/>
      <c r="P75" s="298"/>
      <c r="Q75" s="298">
        <v>4</v>
      </c>
      <c r="R75" s="298"/>
      <c r="S75" s="302">
        <v>-4</v>
      </c>
    </row>
    <row r="76" spans="1:19" ht="12.75">
      <c r="A76" s="381" t="s">
        <v>486</v>
      </c>
      <c r="B76" s="237">
        <v>0.03</v>
      </c>
      <c r="C76" s="233">
        <f t="shared" si="22"/>
        <v>0.002925</v>
      </c>
      <c r="D76" s="243">
        <f ca="1" t="shared" si="23"/>
        <v>0</v>
      </c>
      <c r="E76" s="146">
        <f>IF(D76&gt;0,A76,"")</f>
      </c>
      <c r="F76" s="245"/>
      <c r="G76" s="143"/>
      <c r="H76" s="253" t="str">
        <f>INDEX('Data_Inns names'!B$6:B$97,I76)</f>
        <v>Red inn</v>
      </c>
      <c r="I76" s="14">
        <f ca="1" t="shared" si="24"/>
        <v>79</v>
      </c>
      <c r="L76" s="376" t="s">
        <v>823</v>
      </c>
      <c r="M76" s="372" t="s">
        <v>896</v>
      </c>
      <c r="N76" s="298">
        <v>-1</v>
      </c>
      <c r="O76" s="298"/>
      <c r="P76" s="298">
        <v>-1</v>
      </c>
      <c r="Q76" s="298"/>
      <c r="R76" s="298"/>
      <c r="S76" s="302">
        <v>-1</v>
      </c>
    </row>
    <row r="77" spans="1:19" ht="12.75">
      <c r="A77" s="381" t="s">
        <v>626</v>
      </c>
      <c r="B77" s="237">
        <v>0.02</v>
      </c>
      <c r="C77" s="233">
        <f t="shared" si="22"/>
        <v>0.0019500000000000001</v>
      </c>
      <c r="D77" s="243">
        <f ca="1" t="shared" si="23"/>
        <v>0</v>
      </c>
      <c r="E77" s="146">
        <f>IF(D77&gt;0,A77,"")</f>
      </c>
      <c r="F77" s="245"/>
      <c r="G77" s="143"/>
      <c r="H77" s="253" t="str">
        <f>INDEX('Data_Inns names'!B$6:B$97,I77)</f>
        <v>Rayed sun inn</v>
      </c>
      <c r="I77" s="14">
        <f ca="1" t="shared" si="24"/>
        <v>78</v>
      </c>
      <c r="J77" s="331"/>
      <c r="L77" s="376" t="s">
        <v>824</v>
      </c>
      <c r="M77" s="372" t="s">
        <v>897</v>
      </c>
      <c r="N77" s="298"/>
      <c r="O77" s="298"/>
      <c r="P77" s="298">
        <v>1</v>
      </c>
      <c r="Q77" s="298"/>
      <c r="R77" s="298"/>
      <c r="S77" s="302">
        <v>-1</v>
      </c>
    </row>
    <row r="78" spans="1:19" ht="12.75">
      <c r="A78" s="381" t="s">
        <v>483</v>
      </c>
      <c r="B78" s="237">
        <v>0.03</v>
      </c>
      <c r="C78" s="233">
        <f t="shared" si="22"/>
        <v>0.002925</v>
      </c>
      <c r="D78" s="243">
        <f ca="1" t="shared" si="23"/>
        <v>0</v>
      </c>
      <c r="E78" s="146">
        <f>IF(D78&gt;0,A78&amp;" ------&gt;","")</f>
      </c>
      <c r="F78" s="245"/>
      <c r="G78" s="143"/>
      <c r="H78" s="253" t="str">
        <f>INDEX('Data_Inns names'!B$6:B$97,I78)</f>
        <v>The traveller's rest</v>
      </c>
      <c r="I78" s="14">
        <f ca="1" t="shared" si="24"/>
        <v>86</v>
      </c>
      <c r="J78" s="331"/>
      <c r="L78" s="376" t="s">
        <v>825</v>
      </c>
      <c r="M78" s="372" t="s">
        <v>944</v>
      </c>
      <c r="N78" s="298">
        <v>1</v>
      </c>
      <c r="O78" s="298"/>
      <c r="P78" s="298">
        <v>1</v>
      </c>
      <c r="Q78" s="298"/>
      <c r="R78" s="298"/>
      <c r="S78" s="302"/>
    </row>
    <row r="79" spans="1:19" ht="12.75">
      <c r="A79" s="142"/>
      <c r="B79" s="239"/>
      <c r="C79" s="239"/>
      <c r="D79" s="239"/>
      <c r="E79" s="124"/>
      <c r="F79" s="239"/>
      <c r="G79" s="143"/>
      <c r="H79" s="338" t="str">
        <f>INDEX('Data_Inns names'!B$6:B$97,I79)</f>
        <v>Footsore wanderer inn</v>
      </c>
      <c r="I79" s="15">
        <f ca="1" t="shared" si="24"/>
        <v>54</v>
      </c>
      <c r="J79" s="331"/>
      <c r="L79" s="376" t="s">
        <v>826</v>
      </c>
      <c r="M79" s="372" t="s">
        <v>898</v>
      </c>
      <c r="N79" s="298">
        <v>-2</v>
      </c>
      <c r="O79" s="298"/>
      <c r="P79" s="298"/>
      <c r="Q79" s="298"/>
      <c r="R79" s="298"/>
      <c r="S79" s="302"/>
    </row>
    <row r="80" spans="1:19" ht="12.75">
      <c r="A80" s="150" t="s">
        <v>624</v>
      </c>
      <c r="B80" s="239"/>
      <c r="C80" s="239"/>
      <c r="D80" s="239"/>
      <c r="E80" s="124"/>
      <c r="F80" s="239"/>
      <c r="G80" s="143"/>
      <c r="J80" s="331"/>
      <c r="L80" s="376" t="s">
        <v>827</v>
      </c>
      <c r="M80" s="372" t="s">
        <v>899</v>
      </c>
      <c r="N80" s="298"/>
      <c r="O80" s="298"/>
      <c r="P80" s="298"/>
      <c r="Q80" s="298"/>
      <c r="R80" s="298">
        <v>-1</v>
      </c>
      <c r="S80" s="302">
        <v>1</v>
      </c>
    </row>
    <row r="81" spans="1:19" ht="12.75">
      <c r="A81" s="381" t="s">
        <v>631</v>
      </c>
      <c r="B81" s="237">
        <v>0.08</v>
      </c>
      <c r="C81" s="233">
        <f aca="true" t="shared" si="25" ref="C81:C94">B81*$C$95</f>
        <v>0.0078000000000000005</v>
      </c>
      <c r="D81" s="243">
        <f aca="true" ca="1" t="shared" si="26" ref="D81:D94">TRUNC(C81*$F$3)+IF(RAND()&gt;MOD(C81*$F$3,1),0,1)</f>
        <v>2</v>
      </c>
      <c r="E81" s="146" t="str">
        <f aca="true" t="shared" si="27" ref="E81:E94">IF(D81&gt;0,A81,"")</f>
        <v>Animal handler, common (Beastmaster)</v>
      </c>
      <c r="F81" s="245"/>
      <c r="G81" s="143"/>
      <c r="H81" s="337" t="s">
        <v>11</v>
      </c>
      <c r="I81" s="12"/>
      <c r="J81" s="331"/>
      <c r="L81" s="376" t="s">
        <v>828</v>
      </c>
      <c r="M81" s="372" t="s">
        <v>900</v>
      </c>
      <c r="N81" s="298"/>
      <c r="O81" s="298">
        <v>1</v>
      </c>
      <c r="P81" s="298"/>
      <c r="Q81" s="298">
        <v>-1</v>
      </c>
      <c r="R81" s="298"/>
      <c r="S81" s="302"/>
    </row>
    <row r="82" spans="1:19" ht="12.75">
      <c r="A82" s="381" t="s">
        <v>423</v>
      </c>
      <c r="B82" s="237">
        <v>0.08</v>
      </c>
      <c r="C82" s="233">
        <f t="shared" si="25"/>
        <v>0.0078000000000000005</v>
      </c>
      <c r="D82" s="243">
        <f ca="1" t="shared" si="26"/>
        <v>2</v>
      </c>
      <c r="E82" s="146" t="str">
        <f t="shared" si="27"/>
        <v>Bakery (Baker)</v>
      </c>
      <c r="F82" s="245"/>
      <c r="G82" s="143"/>
      <c r="H82" s="253" t="str">
        <f>INDEX('Data_Inns names'!C$6:C$97,I82)</f>
        <v>Wayfarer tavern</v>
      </c>
      <c r="I82" s="14">
        <f aca="true" ca="1" t="shared" si="28" ref="I82:I87">INT(RAND()*92)</f>
        <v>88</v>
      </c>
      <c r="J82" s="331"/>
      <c r="L82" s="376" t="s">
        <v>829</v>
      </c>
      <c r="M82" s="372" t="s">
        <v>945</v>
      </c>
      <c r="N82" s="298"/>
      <c r="O82" s="298">
        <v>-1</v>
      </c>
      <c r="P82" s="298"/>
      <c r="Q82" s="298">
        <v>1</v>
      </c>
      <c r="R82" s="298"/>
      <c r="S82" s="302"/>
    </row>
    <row r="83" spans="1:19" ht="12.75">
      <c r="A83" s="381" t="s">
        <v>482</v>
      </c>
      <c r="B83" s="237">
        <v>0.03</v>
      </c>
      <c r="C83" s="233">
        <f t="shared" si="25"/>
        <v>0.002925</v>
      </c>
      <c r="D83" s="243">
        <f ca="1" t="shared" si="26"/>
        <v>1</v>
      </c>
      <c r="E83" s="146" t="str">
        <f t="shared" si="27"/>
        <v>Beekeeper (Beastmaster)</v>
      </c>
      <c r="F83" s="245"/>
      <c r="G83" s="143"/>
      <c r="H83" s="253" t="str">
        <f>INDEX('Data_Inns names'!C$6:C$97,I83)</f>
        <v>The Coaster</v>
      </c>
      <c r="I83" s="14">
        <f ca="1" t="shared" si="28"/>
        <v>43</v>
      </c>
      <c r="J83" s="331"/>
      <c r="L83" s="376" t="s">
        <v>830</v>
      </c>
      <c r="M83" s="372" t="s">
        <v>901</v>
      </c>
      <c r="N83" s="298"/>
      <c r="O83" s="298"/>
      <c r="P83" s="298">
        <v>-2</v>
      </c>
      <c r="Q83" s="298"/>
      <c r="R83" s="298"/>
      <c r="S83" s="302">
        <v>-2</v>
      </c>
    </row>
    <row r="84" spans="1:19" ht="12.75">
      <c r="A84" s="381" t="s">
        <v>481</v>
      </c>
      <c r="B84" s="237">
        <v>0.05</v>
      </c>
      <c r="C84" s="233">
        <f t="shared" si="25"/>
        <v>0.004875000000000001</v>
      </c>
      <c r="D84" s="243">
        <f ca="1" t="shared" si="26"/>
        <v>1</v>
      </c>
      <c r="E84" s="146" t="str">
        <f t="shared" si="27"/>
        <v>Building material (Carpenter)</v>
      </c>
      <c r="F84" s="245"/>
      <c r="G84" s="143"/>
      <c r="H84" s="253" t="str">
        <f>INDEX('Data_Inns names'!C$6:C$97,I84)</f>
        <v>The Adept's Folly</v>
      </c>
      <c r="I84" s="14">
        <f ca="1" t="shared" si="28"/>
        <v>35</v>
      </c>
      <c r="L84" s="376" t="s">
        <v>831</v>
      </c>
      <c r="M84" s="372" t="s">
        <v>902</v>
      </c>
      <c r="N84" s="298"/>
      <c r="O84" s="298"/>
      <c r="P84" s="298"/>
      <c r="Q84" s="298"/>
      <c r="R84" s="298"/>
      <c r="S84" s="302"/>
    </row>
    <row r="85" spans="1:19" ht="12.75">
      <c r="A85" s="381" t="s">
        <v>424</v>
      </c>
      <c r="B85" s="237">
        <v>0.08</v>
      </c>
      <c r="C85" s="233">
        <f t="shared" si="25"/>
        <v>0.0078000000000000005</v>
      </c>
      <c r="D85" s="243">
        <f ca="1" t="shared" si="26"/>
        <v>2</v>
      </c>
      <c r="E85" s="146" t="str">
        <f t="shared" si="27"/>
        <v>Butcher shop (Butcher)</v>
      </c>
      <c r="F85" s="245"/>
      <c r="G85" s="143"/>
      <c r="H85" s="253" t="str">
        <f>INDEX('Data_Inns names'!C$6:C$97,I85)</f>
        <v>The Lamia and Lion</v>
      </c>
      <c r="I85" s="14">
        <f ca="1" t="shared" si="28"/>
        <v>25</v>
      </c>
      <c r="J85" s="331"/>
      <c r="L85" s="376" t="s">
        <v>832</v>
      </c>
      <c r="M85" s="372" t="s">
        <v>903</v>
      </c>
      <c r="N85" s="298"/>
      <c r="O85" s="298">
        <v>3</v>
      </c>
      <c r="P85" s="298">
        <v>2</v>
      </c>
      <c r="Q85" s="298"/>
      <c r="R85" s="298"/>
      <c r="S85" s="302"/>
    </row>
    <row r="86" spans="1:19" ht="12.75">
      <c r="A86" s="381" t="s">
        <v>437</v>
      </c>
      <c r="B86" s="237">
        <v>0.08</v>
      </c>
      <c r="C86" s="233">
        <f t="shared" si="25"/>
        <v>0.0078000000000000005</v>
      </c>
      <c r="D86" s="243">
        <f ca="1" t="shared" si="26"/>
        <v>2</v>
      </c>
      <c r="E86" s="146" t="str">
        <f t="shared" si="27"/>
        <v>Clothing store (Tailor)</v>
      </c>
      <c r="F86" s="245"/>
      <c r="G86" s="143"/>
      <c r="H86" s="253" t="str">
        <f>INDEX('Data_Inns names'!C$6:C$97,I86)</f>
        <v>The silver crown</v>
      </c>
      <c r="I86" s="14">
        <f ca="1" t="shared" si="28"/>
        <v>0</v>
      </c>
      <c r="J86" s="331"/>
      <c r="L86" s="376" t="s">
        <v>833</v>
      </c>
      <c r="M86" s="372" t="s">
        <v>904</v>
      </c>
      <c r="N86" s="298"/>
      <c r="O86" s="298">
        <v>-1</v>
      </c>
      <c r="P86" s="298">
        <v>1</v>
      </c>
      <c r="Q86" s="298"/>
      <c r="R86" s="298"/>
      <c r="S86" s="302">
        <v>-1</v>
      </c>
    </row>
    <row r="87" spans="1:19" ht="12.75">
      <c r="A87" s="381" t="s">
        <v>459</v>
      </c>
      <c r="B87" s="237">
        <v>0.05</v>
      </c>
      <c r="C87" s="233">
        <f t="shared" si="25"/>
        <v>0.004875000000000001</v>
      </c>
      <c r="D87" s="243">
        <f ca="1" t="shared" si="26"/>
        <v>1</v>
      </c>
      <c r="E87" s="146" t="str">
        <f t="shared" si="27"/>
        <v>Footwear (Cobbler)</v>
      </c>
      <c r="F87" s="245"/>
      <c r="G87" s="143"/>
      <c r="H87" s="338" t="str">
        <f>INDEX('Data_Inns names'!C$6:C$97,I87)</f>
        <v>Destiny Arms</v>
      </c>
      <c r="I87" s="15">
        <f ca="1" t="shared" si="28"/>
        <v>49</v>
      </c>
      <c r="J87" s="331"/>
      <c r="L87" s="376" t="s">
        <v>834</v>
      </c>
      <c r="M87" s="372" t="s">
        <v>905</v>
      </c>
      <c r="N87" s="298"/>
      <c r="O87" s="298"/>
      <c r="P87" s="298">
        <v>-2</v>
      </c>
      <c r="Q87" s="298"/>
      <c r="R87" s="298"/>
      <c r="S87" s="302"/>
    </row>
    <row r="88" spans="1:19" ht="12.75">
      <c r="A88" s="381" t="s">
        <v>438</v>
      </c>
      <c r="B88" s="237">
        <v>0.05</v>
      </c>
      <c r="C88" s="233">
        <f t="shared" si="25"/>
        <v>0.004875000000000001</v>
      </c>
      <c r="D88" s="243">
        <f ca="1" t="shared" si="26"/>
        <v>1</v>
      </c>
      <c r="E88" s="146" t="str">
        <f t="shared" si="27"/>
        <v>Furniture shop (Carpenter)</v>
      </c>
      <c r="F88" s="245"/>
      <c r="G88" s="143"/>
      <c r="J88" s="331"/>
      <c r="L88" s="376" t="s">
        <v>835</v>
      </c>
      <c r="M88" s="372" t="s">
        <v>906</v>
      </c>
      <c r="N88" s="298"/>
      <c r="O88" s="298">
        <v>1</v>
      </c>
      <c r="P88" s="298"/>
      <c r="Q88" s="298"/>
      <c r="R88" s="298"/>
      <c r="S88" s="302">
        <v>2</v>
      </c>
    </row>
    <row r="89" spans="1:19" ht="12.75">
      <c r="A89" s="381" t="s">
        <v>426</v>
      </c>
      <c r="B89" s="237">
        <v>0.08</v>
      </c>
      <c r="C89" s="233">
        <f t="shared" si="25"/>
        <v>0.0078000000000000005</v>
      </c>
      <c r="D89" s="243">
        <f ca="1" t="shared" si="26"/>
        <v>2</v>
      </c>
      <c r="E89" s="146" t="str">
        <f t="shared" si="27"/>
        <v>Leather goods shop (Tanner)</v>
      </c>
      <c r="F89" s="245"/>
      <c r="G89" s="143"/>
      <c r="J89" s="331"/>
      <c r="L89" s="376" t="s">
        <v>836</v>
      </c>
      <c r="M89" s="372" t="s">
        <v>907</v>
      </c>
      <c r="N89" s="298"/>
      <c r="O89" s="298"/>
      <c r="P89" s="298">
        <v>1</v>
      </c>
      <c r="Q89" s="298"/>
      <c r="R89" s="298"/>
      <c r="S89" s="302"/>
    </row>
    <row r="90" spans="1:19" ht="12.75">
      <c r="A90" s="381" t="s">
        <v>427</v>
      </c>
      <c r="B90" s="237">
        <v>0.05</v>
      </c>
      <c r="C90" s="233">
        <f t="shared" si="25"/>
        <v>0.004875000000000001</v>
      </c>
      <c r="D90" s="243">
        <f ca="1" t="shared" si="26"/>
        <v>1</v>
      </c>
      <c r="E90" s="146" t="str">
        <f t="shared" si="27"/>
        <v>Pottery shop (Potter)</v>
      </c>
      <c r="F90" s="245"/>
      <c r="G90" s="143"/>
      <c r="J90" s="331"/>
      <c r="L90" s="376" t="s">
        <v>837</v>
      </c>
      <c r="M90" s="372" t="s">
        <v>908</v>
      </c>
      <c r="N90" s="298"/>
      <c r="O90" s="298"/>
      <c r="P90" s="298"/>
      <c r="Q90" s="298"/>
      <c r="R90" s="298"/>
      <c r="S90" s="302"/>
    </row>
    <row r="91" spans="1:19" ht="12.75">
      <c r="A91" s="381" t="s">
        <v>460</v>
      </c>
      <c r="B91" s="237">
        <v>0.05</v>
      </c>
      <c r="C91" s="233">
        <f t="shared" si="25"/>
        <v>0.004875000000000001</v>
      </c>
      <c r="D91" s="243">
        <f ca="1" t="shared" si="26"/>
        <v>1</v>
      </c>
      <c r="E91" s="146" t="str">
        <f t="shared" si="27"/>
        <v>Rugs, Carpet and Yarn shop (Weaver)</v>
      </c>
      <c r="F91" s="245"/>
      <c r="G91" s="143"/>
      <c r="J91" s="331"/>
      <c r="L91" s="376" t="s">
        <v>838</v>
      </c>
      <c r="M91" s="372" t="s">
        <v>932</v>
      </c>
      <c r="N91" s="298"/>
      <c r="O91" s="298"/>
      <c r="P91" s="298"/>
      <c r="Q91" s="298"/>
      <c r="R91" s="298"/>
      <c r="S91" s="302">
        <v>-1</v>
      </c>
    </row>
    <row r="92" spans="1:19" ht="12.75">
      <c r="A92" s="381" t="s">
        <v>422</v>
      </c>
      <c r="B92" s="237">
        <v>0.05</v>
      </c>
      <c r="C92" s="233">
        <f t="shared" si="25"/>
        <v>0.004875000000000001</v>
      </c>
      <c r="D92" s="243">
        <f ca="1" t="shared" si="26"/>
        <v>2</v>
      </c>
      <c r="E92" s="146" t="str">
        <f t="shared" si="27"/>
        <v>Smithy (Blacksmith)</v>
      </c>
      <c r="F92" s="245"/>
      <c r="G92" s="143"/>
      <c r="L92" s="376" t="s">
        <v>839</v>
      </c>
      <c r="M92" s="372" t="s">
        <v>946</v>
      </c>
      <c r="N92" s="298"/>
      <c r="O92" s="298"/>
      <c r="P92" s="298">
        <v>1</v>
      </c>
      <c r="Q92" s="298"/>
      <c r="R92" s="298">
        <v>1</v>
      </c>
      <c r="S92" s="302"/>
    </row>
    <row r="93" spans="1:19" ht="12.75">
      <c r="A93" s="381" t="s">
        <v>428</v>
      </c>
      <c r="B93" s="237">
        <v>0.05</v>
      </c>
      <c r="C93" s="233">
        <f t="shared" si="25"/>
        <v>0.004875000000000001</v>
      </c>
      <c r="D93" s="243">
        <f ca="1" t="shared" si="26"/>
        <v>1</v>
      </c>
      <c r="E93" s="146" t="str">
        <f t="shared" si="27"/>
        <v>Stonework shop (Mason)</v>
      </c>
      <c r="F93" s="245"/>
      <c r="G93" s="143"/>
      <c r="L93" s="376" t="s">
        <v>840</v>
      </c>
      <c r="M93" s="372" t="s">
        <v>909</v>
      </c>
      <c r="N93" s="298"/>
      <c r="O93" s="298"/>
      <c r="P93" s="298"/>
      <c r="Q93" s="298"/>
      <c r="R93" s="298">
        <v>1</v>
      </c>
      <c r="S93" s="302">
        <v>1</v>
      </c>
    </row>
    <row r="94" spans="1:19" ht="13.5" thickBot="1">
      <c r="A94" s="381" t="s">
        <v>480</v>
      </c>
      <c r="B94" s="237">
        <v>0.05</v>
      </c>
      <c r="C94" s="233">
        <f t="shared" si="25"/>
        <v>0.004875000000000001</v>
      </c>
      <c r="D94" s="243">
        <f ca="1" t="shared" si="26"/>
        <v>2</v>
      </c>
      <c r="E94" s="146" t="str">
        <f t="shared" si="27"/>
        <v>Wax &amp; Oils Shop (Chandler)</v>
      </c>
      <c r="F94" s="245"/>
      <c r="G94" s="143"/>
      <c r="K94" s="13"/>
      <c r="L94" s="376" t="s">
        <v>841</v>
      </c>
      <c r="M94" s="372" t="s">
        <v>947</v>
      </c>
      <c r="N94" s="298"/>
      <c r="O94" s="298"/>
      <c r="P94" s="298"/>
      <c r="Q94" s="298"/>
      <c r="R94" s="298"/>
      <c r="S94" s="302"/>
    </row>
    <row r="95" spans="1:19" ht="14.25" thickBot="1" thickTop="1">
      <c r="A95" s="151" t="s">
        <v>256</v>
      </c>
      <c r="B95" s="102">
        <f>SUM(B73:B94)</f>
        <v>1.0000000000000002</v>
      </c>
      <c r="C95" s="79">
        <f>INDEX(AB3:AB9,K3)*INDEX(AB13:AB19,R3)</f>
        <v>0.0975</v>
      </c>
      <c r="D95" s="255">
        <f>SUM(D73:D94)</f>
        <v>22</v>
      </c>
      <c r="E95" s="33"/>
      <c r="F95" s="365"/>
      <c r="G95" s="143"/>
      <c r="L95" s="376" t="s">
        <v>842</v>
      </c>
      <c r="M95" s="372" t="s">
        <v>910</v>
      </c>
      <c r="N95" s="298">
        <v>-1</v>
      </c>
      <c r="O95" s="298"/>
      <c r="P95" s="298"/>
      <c r="Q95" s="298"/>
      <c r="R95" s="298">
        <v>-1</v>
      </c>
      <c r="S95" s="302"/>
    </row>
    <row r="96" spans="1:19" ht="13.5" thickBot="1">
      <c r="A96" s="142"/>
      <c r="G96" s="363"/>
      <c r="H96" s="124"/>
      <c r="I96" s="124"/>
      <c r="L96" s="376" t="s">
        <v>843</v>
      </c>
      <c r="M96" s="372" t="s">
        <v>911</v>
      </c>
      <c r="N96" s="298"/>
      <c r="O96" s="298"/>
      <c r="P96" s="298"/>
      <c r="Q96" s="298"/>
      <c r="R96" s="298"/>
      <c r="S96" s="302">
        <v>1</v>
      </c>
    </row>
    <row r="97" spans="1:19" ht="36.75" thickBot="1">
      <c r="A97" s="250" t="s">
        <v>435</v>
      </c>
      <c r="B97" s="254" t="s">
        <v>514</v>
      </c>
      <c r="C97" s="254" t="s">
        <v>393</v>
      </c>
      <c r="D97" s="241" t="s">
        <v>755</v>
      </c>
      <c r="E97" s="214"/>
      <c r="F97" s="364"/>
      <c r="G97" s="143"/>
      <c r="L97" s="376" t="s">
        <v>844</v>
      </c>
      <c r="M97" s="372" t="s">
        <v>912</v>
      </c>
      <c r="N97" s="298"/>
      <c r="O97" s="298"/>
      <c r="P97" s="298">
        <v>1</v>
      </c>
      <c r="Q97" s="298">
        <v>2</v>
      </c>
      <c r="R97" s="298"/>
      <c r="S97" s="302">
        <v>-1</v>
      </c>
    </row>
    <row r="98" spans="1:19" ht="13.5" thickTop="1">
      <c r="A98" s="381" t="s">
        <v>450</v>
      </c>
      <c r="B98" s="237">
        <v>0.05</v>
      </c>
      <c r="C98" s="233">
        <f>B98*$C$119</f>
        <v>0.001755</v>
      </c>
      <c r="D98" s="243">
        <f aca="true" ca="1" t="shared" si="29" ref="D98:D103">TRUNC(C98*$F$3)+IF(RAND()&gt;MOD(C98*$F$3,1),0,1)</f>
        <v>1</v>
      </c>
      <c r="E98" s="146" t="str">
        <f aca="true" t="shared" si="30" ref="E98:E103">IF(D98&gt;0,A98,"")</f>
        <v>Bookstore or Herald (Scribe)</v>
      </c>
      <c r="F98" s="245"/>
      <c r="G98" s="143"/>
      <c r="K98" s="13"/>
      <c r="L98" s="376" t="s">
        <v>845</v>
      </c>
      <c r="M98" s="372" t="s">
        <v>913</v>
      </c>
      <c r="N98" s="298"/>
      <c r="O98" s="298"/>
      <c r="P98" s="298"/>
      <c r="Q98" s="298">
        <v>2</v>
      </c>
      <c r="R98" s="298"/>
      <c r="S98" s="302">
        <v>-2</v>
      </c>
    </row>
    <row r="99" spans="1:19" ht="22.5">
      <c r="A99" s="381" t="s">
        <v>448</v>
      </c>
      <c r="B99" s="237">
        <v>0.1</v>
      </c>
      <c r="C99" s="233">
        <f>B99*$C$134</f>
        <v>0.0006000000000000001</v>
      </c>
      <c r="D99" s="243">
        <f ca="1" t="shared" si="29"/>
        <v>0</v>
      </c>
      <c r="E99" s="146">
        <f t="shared" si="30"/>
      </c>
      <c r="F99" s="245"/>
      <c r="G99" s="143"/>
      <c r="L99" s="376" t="s">
        <v>846</v>
      </c>
      <c r="M99" s="372" t="s">
        <v>914</v>
      </c>
      <c r="N99" s="298"/>
      <c r="O99" s="298"/>
      <c r="P99" s="298"/>
      <c r="Q99" s="298"/>
      <c r="R99" s="298">
        <v>1</v>
      </c>
      <c r="S99" s="302">
        <v>-1</v>
      </c>
    </row>
    <row r="100" spans="1:19" ht="12.75">
      <c r="A100" s="381" t="s">
        <v>449</v>
      </c>
      <c r="B100" s="237">
        <v>0.05</v>
      </c>
      <c r="C100" s="233">
        <f>B100*$C$119</f>
        <v>0.001755</v>
      </c>
      <c r="D100" s="243">
        <f ca="1" t="shared" si="29"/>
        <v>0</v>
      </c>
      <c r="E100" s="146">
        <f t="shared" si="30"/>
      </c>
      <c r="F100" s="245"/>
      <c r="G100" s="143"/>
      <c r="J100" s="319"/>
      <c r="L100" s="376" t="s">
        <v>847</v>
      </c>
      <c r="M100" s="372" t="s">
        <v>915</v>
      </c>
      <c r="N100" s="298"/>
      <c r="O100" s="298">
        <v>-1</v>
      </c>
      <c r="P100" s="298">
        <v>-1</v>
      </c>
      <c r="Q100" s="298"/>
      <c r="R100" s="298"/>
      <c r="S100" s="302"/>
    </row>
    <row r="101" spans="1:19" ht="12.75">
      <c r="A101" s="381" t="s">
        <v>457</v>
      </c>
      <c r="B101" s="237">
        <v>0.05</v>
      </c>
      <c r="C101" s="233">
        <f>B101*$C$119</f>
        <v>0.001755</v>
      </c>
      <c r="D101" s="243">
        <f ca="1" t="shared" si="29"/>
        <v>1</v>
      </c>
      <c r="E101" s="146" t="str">
        <f t="shared" si="30"/>
        <v>Entertainment (Entertainer or Bard)</v>
      </c>
      <c r="F101" s="245"/>
      <c r="G101" s="143"/>
      <c r="L101" s="376" t="s">
        <v>848</v>
      </c>
      <c r="M101" s="372" t="s">
        <v>916</v>
      </c>
      <c r="N101" s="298">
        <v>-1</v>
      </c>
      <c r="O101" s="298"/>
      <c r="P101" s="298">
        <v>-1</v>
      </c>
      <c r="Q101" s="298"/>
      <c r="R101" s="298">
        <v>1</v>
      </c>
      <c r="S101" s="302"/>
    </row>
    <row r="102" spans="1:19" ht="12.75">
      <c r="A102" s="381" t="s">
        <v>446</v>
      </c>
      <c r="B102" s="237">
        <v>0.05</v>
      </c>
      <c r="C102" s="233">
        <f>B102*$C$119</f>
        <v>0.001755</v>
      </c>
      <c r="D102" s="243">
        <f ca="1" t="shared" si="29"/>
        <v>0</v>
      </c>
      <c r="E102" s="146">
        <f t="shared" si="30"/>
      </c>
      <c r="F102" s="245"/>
      <c r="G102" s="143"/>
      <c r="L102" s="376" t="s">
        <v>849</v>
      </c>
      <c r="M102" s="372" t="s">
        <v>948</v>
      </c>
      <c r="N102" s="298"/>
      <c r="O102" s="298"/>
      <c r="P102" s="298"/>
      <c r="Q102" s="298"/>
      <c r="R102" s="298"/>
      <c r="S102" s="302">
        <v>-2</v>
      </c>
    </row>
    <row r="103" spans="1:19" ht="12.75">
      <c r="A103" s="381" t="s">
        <v>447</v>
      </c>
      <c r="B103" s="237">
        <v>0.06</v>
      </c>
      <c r="C103" s="233">
        <f>B103*$C$119</f>
        <v>0.002106</v>
      </c>
      <c r="D103" s="243">
        <f ca="1" t="shared" si="29"/>
        <v>0</v>
      </c>
      <c r="E103" s="146">
        <f t="shared" si="30"/>
      </c>
      <c r="F103" s="245"/>
      <c r="G103" s="143"/>
      <c r="L103" s="376" t="s">
        <v>850</v>
      </c>
      <c r="M103" s="372" t="s">
        <v>917</v>
      </c>
      <c r="N103" s="298"/>
      <c r="O103" s="298"/>
      <c r="P103" s="298"/>
      <c r="Q103" s="298"/>
      <c r="R103" s="298">
        <v>2</v>
      </c>
      <c r="S103" s="302">
        <v>1</v>
      </c>
    </row>
    <row r="104" spans="1:19" ht="12.75">
      <c r="A104" s="145"/>
      <c r="B104" s="237"/>
      <c r="C104" s="233"/>
      <c r="D104" s="243"/>
      <c r="E104" s="146"/>
      <c r="F104" s="245"/>
      <c r="G104" s="143"/>
      <c r="L104" s="376" t="s">
        <v>851</v>
      </c>
      <c r="M104" s="372" t="s">
        <v>933</v>
      </c>
      <c r="N104" s="298"/>
      <c r="O104" s="298"/>
      <c r="P104" s="298"/>
      <c r="Q104" s="298">
        <v>1</v>
      </c>
      <c r="R104" s="298">
        <v>1</v>
      </c>
      <c r="S104" s="302"/>
    </row>
    <row r="105" spans="1:19" ht="12.75">
      <c r="A105" s="150" t="s">
        <v>624</v>
      </c>
      <c r="B105" s="239"/>
      <c r="C105" s="239"/>
      <c r="D105" s="239"/>
      <c r="E105" s="124"/>
      <c r="F105" s="239"/>
      <c r="G105" s="143"/>
      <c r="L105" s="376" t="s">
        <v>852</v>
      </c>
      <c r="M105" s="372" t="s">
        <v>918</v>
      </c>
      <c r="N105" s="298"/>
      <c r="O105" s="298"/>
      <c r="P105" s="298">
        <v>1</v>
      </c>
      <c r="Q105" s="298"/>
      <c r="R105" s="298"/>
      <c r="S105" s="302"/>
    </row>
    <row r="106" spans="1:19" ht="12.75">
      <c r="A106" s="381" t="s">
        <v>632</v>
      </c>
      <c r="B106" s="237">
        <v>0.04</v>
      </c>
      <c r="C106" s="233">
        <f aca="true" t="shared" si="31" ref="C106:C118">B106*$C$119</f>
        <v>0.001404</v>
      </c>
      <c r="D106" s="243">
        <f aca="true" ca="1" t="shared" si="32" ref="D106:D118">TRUNC(C106*$F$3)+IF(RAND()&gt;MOD(C106*$F$3,1),0,1)</f>
        <v>0</v>
      </c>
      <c r="E106" s="146">
        <f aca="true" t="shared" si="33" ref="E106:E118">IF(D106&gt;0,A106,"")</f>
      </c>
      <c r="F106" s="245"/>
      <c r="G106" s="143"/>
      <c r="L106" s="376" t="s">
        <v>853</v>
      </c>
      <c r="M106" s="372" t="s">
        <v>919</v>
      </c>
      <c r="N106" s="298"/>
      <c r="O106" s="298"/>
      <c r="P106" s="298"/>
      <c r="Q106" s="298">
        <v>1</v>
      </c>
      <c r="R106" s="298">
        <v>-1</v>
      </c>
      <c r="S106" s="302"/>
    </row>
    <row r="107" spans="1:19" ht="12.75">
      <c r="A107" s="381" t="s">
        <v>429</v>
      </c>
      <c r="B107" s="237">
        <v>0.04</v>
      </c>
      <c r="C107" s="233">
        <f t="shared" si="31"/>
        <v>0.001404</v>
      </c>
      <c r="D107" s="243">
        <f ca="1" t="shared" si="32"/>
        <v>1</v>
      </c>
      <c r="E107" s="146" t="str">
        <f t="shared" si="33"/>
        <v>Armor shop (Armorer)</v>
      </c>
      <c r="F107" s="245"/>
      <c r="G107" s="143"/>
      <c r="L107" s="376" t="s">
        <v>854</v>
      </c>
      <c r="M107" s="372" t="s">
        <v>920</v>
      </c>
      <c r="N107" s="298"/>
      <c r="O107" s="298">
        <v>-4</v>
      </c>
      <c r="P107" s="298"/>
      <c r="Q107" s="298">
        <v>2</v>
      </c>
      <c r="R107" s="298"/>
      <c r="S107" s="302">
        <v>2</v>
      </c>
    </row>
    <row r="108" spans="1:19" ht="12.75">
      <c r="A108" s="381" t="s">
        <v>430</v>
      </c>
      <c r="B108" s="237">
        <v>0.05</v>
      </c>
      <c r="C108" s="233">
        <f t="shared" si="31"/>
        <v>0.001755</v>
      </c>
      <c r="D108" s="243">
        <f ca="1" t="shared" si="32"/>
        <v>0</v>
      </c>
      <c r="E108" s="146">
        <f t="shared" si="33"/>
      </c>
      <c r="F108" s="245"/>
      <c r="G108" s="143"/>
      <c r="L108" s="376" t="s">
        <v>855</v>
      </c>
      <c r="M108" s="372" t="s">
        <v>921</v>
      </c>
      <c r="N108" s="298"/>
      <c r="O108" s="298"/>
      <c r="P108" s="298"/>
      <c r="Q108" s="298"/>
      <c r="R108" s="298"/>
      <c r="S108" s="302">
        <v>2</v>
      </c>
    </row>
    <row r="109" spans="1:19" ht="12.75">
      <c r="A109" s="381" t="s">
        <v>441</v>
      </c>
      <c r="B109" s="237">
        <v>0.04</v>
      </c>
      <c r="C109" s="233">
        <f t="shared" si="31"/>
        <v>0.001404</v>
      </c>
      <c r="D109" s="243">
        <f ca="1" t="shared" si="32"/>
        <v>0</v>
      </c>
      <c r="E109" s="146">
        <f t="shared" si="33"/>
      </c>
      <c r="F109" s="245"/>
      <c r="G109" s="143"/>
      <c r="L109" s="376" t="s">
        <v>856</v>
      </c>
      <c r="M109" s="372" t="s">
        <v>922</v>
      </c>
      <c r="N109" s="298"/>
      <c r="O109" s="298">
        <v>2</v>
      </c>
      <c r="P109" s="298"/>
      <c r="Q109" s="298"/>
      <c r="R109" s="298">
        <v>-2</v>
      </c>
      <c r="S109" s="302"/>
    </row>
    <row r="110" spans="1:19" ht="12.75">
      <c r="A110" s="381" t="s">
        <v>439</v>
      </c>
      <c r="B110" s="237">
        <v>0.06</v>
      </c>
      <c r="C110" s="233">
        <f t="shared" si="31"/>
        <v>0.002106</v>
      </c>
      <c r="D110" s="243">
        <f ca="1" t="shared" si="32"/>
        <v>0</v>
      </c>
      <c r="E110" s="146">
        <f t="shared" si="33"/>
      </c>
      <c r="F110" s="245"/>
      <c r="G110" s="143"/>
      <c r="L110" s="376" t="s">
        <v>857</v>
      </c>
      <c r="M110" s="372" t="s">
        <v>923</v>
      </c>
      <c r="N110" s="298"/>
      <c r="O110" s="298"/>
      <c r="P110" s="298">
        <v>1</v>
      </c>
      <c r="Q110" s="298"/>
      <c r="R110" s="298">
        <v>1</v>
      </c>
      <c r="S110" s="302"/>
    </row>
    <row r="111" spans="1:19" ht="12.75">
      <c r="A111" s="381" t="s">
        <v>440</v>
      </c>
      <c r="B111" s="237">
        <v>0.06</v>
      </c>
      <c r="C111" s="233">
        <f t="shared" si="31"/>
        <v>0.002106</v>
      </c>
      <c r="D111" s="243">
        <f ca="1" t="shared" si="32"/>
        <v>1</v>
      </c>
      <c r="E111" s="146" t="str">
        <f t="shared" si="33"/>
        <v>Dye Shop (Dye maker)</v>
      </c>
      <c r="F111" s="245"/>
      <c r="G111" s="143"/>
      <c r="L111" s="376" t="s">
        <v>858</v>
      </c>
      <c r="M111" s="372" t="s">
        <v>924</v>
      </c>
      <c r="N111" s="298"/>
      <c r="O111" s="298"/>
      <c r="P111" s="298">
        <v>1</v>
      </c>
      <c r="Q111" s="298"/>
      <c r="R111" s="298"/>
      <c r="S111" s="302"/>
    </row>
    <row r="112" spans="1:19" ht="12.75">
      <c r="A112" s="381" t="s">
        <v>442</v>
      </c>
      <c r="B112" s="237">
        <v>0.06</v>
      </c>
      <c r="C112" s="233">
        <f t="shared" si="31"/>
        <v>0.002106</v>
      </c>
      <c r="D112" s="243">
        <f ca="1" t="shared" si="32"/>
        <v>0</v>
      </c>
      <c r="E112" s="146">
        <f t="shared" si="33"/>
      </c>
      <c r="F112" s="245"/>
      <c r="G112" s="143"/>
      <c r="L112" s="376" t="s">
        <v>859</v>
      </c>
      <c r="M112" s="372" t="s">
        <v>925</v>
      </c>
      <c r="N112" s="298"/>
      <c r="O112" s="298"/>
      <c r="P112" s="298">
        <v>1</v>
      </c>
      <c r="Q112" s="298"/>
      <c r="R112" s="298"/>
      <c r="S112" s="302"/>
    </row>
    <row r="113" spans="1:19" ht="12.75">
      <c r="A113" s="381" t="s">
        <v>443</v>
      </c>
      <c r="B113" s="237">
        <v>0.05</v>
      </c>
      <c r="C113" s="233">
        <f t="shared" si="31"/>
        <v>0.001755</v>
      </c>
      <c r="D113" s="243">
        <f ca="1" t="shared" si="32"/>
        <v>1</v>
      </c>
      <c r="E113" s="146" t="str">
        <f t="shared" si="33"/>
        <v>Jewelery store (Jeweler)</v>
      </c>
      <c r="F113" s="245"/>
      <c r="G113" s="143"/>
      <c r="L113" s="376" t="s">
        <v>860</v>
      </c>
      <c r="M113" s="372" t="s">
        <v>926</v>
      </c>
      <c r="N113" s="298"/>
      <c r="O113" s="298"/>
      <c r="P113" s="298"/>
      <c r="Q113" s="298"/>
      <c r="R113" s="298">
        <v>4</v>
      </c>
      <c r="S113" s="302">
        <v>-3</v>
      </c>
    </row>
    <row r="114" spans="1:19" ht="12.75">
      <c r="A114" s="381" t="s">
        <v>444</v>
      </c>
      <c r="B114" s="237">
        <v>0.05</v>
      </c>
      <c r="C114" s="233">
        <f t="shared" si="31"/>
        <v>0.001755</v>
      </c>
      <c r="D114" s="243">
        <f ca="1" t="shared" si="32"/>
        <v>0</v>
      </c>
      <c r="E114" s="146">
        <f t="shared" si="33"/>
      </c>
      <c r="F114" s="245"/>
      <c r="G114" s="143"/>
      <c r="L114" s="376" t="s">
        <v>861</v>
      </c>
      <c r="M114" s="372" t="s">
        <v>927</v>
      </c>
      <c r="N114" s="298"/>
      <c r="O114" s="298"/>
      <c r="P114" s="298"/>
      <c r="Q114" s="298"/>
      <c r="R114" s="298">
        <v>1</v>
      </c>
      <c r="S114" s="302"/>
    </row>
    <row r="115" spans="1:19" ht="12.75">
      <c r="A115" s="381" t="s">
        <v>478</v>
      </c>
      <c r="B115" s="237">
        <v>0.04</v>
      </c>
      <c r="C115" s="233">
        <f t="shared" si="31"/>
        <v>0.001404</v>
      </c>
      <c r="D115" s="243">
        <f ca="1" t="shared" si="32"/>
        <v>1</v>
      </c>
      <c r="E115" s="146" t="str">
        <f t="shared" si="33"/>
        <v>Shipwright shop (Shipwright)</v>
      </c>
      <c r="F115" s="245"/>
      <c r="G115" s="143"/>
      <c r="L115" s="376" t="s">
        <v>862</v>
      </c>
      <c r="M115" s="372" t="s">
        <v>928</v>
      </c>
      <c r="N115" s="298">
        <v>2</v>
      </c>
      <c r="O115" s="298"/>
      <c r="P115" s="298"/>
      <c r="Q115" s="298"/>
      <c r="R115" s="298"/>
      <c r="S115" s="302"/>
    </row>
    <row r="116" spans="1:19" ht="12.75">
      <c r="A116" s="381" t="s">
        <v>445</v>
      </c>
      <c r="B116" s="237">
        <v>0.05</v>
      </c>
      <c r="C116" s="233">
        <f t="shared" si="31"/>
        <v>0.001755</v>
      </c>
      <c r="D116" s="243">
        <f ca="1" t="shared" si="32"/>
        <v>1</v>
      </c>
      <c r="E116" s="146" t="str">
        <f t="shared" si="33"/>
        <v>Tinker's shop (Mechanician)</v>
      </c>
      <c r="F116" s="245"/>
      <c r="G116" s="143"/>
      <c r="L116" s="376" t="s">
        <v>863</v>
      </c>
      <c r="M116" s="372" t="s">
        <v>929</v>
      </c>
      <c r="N116" s="298"/>
      <c r="O116" s="298"/>
      <c r="P116" s="298"/>
      <c r="Q116" s="298"/>
      <c r="R116" s="298"/>
      <c r="S116" s="302"/>
    </row>
    <row r="117" spans="1:19" ht="12.75">
      <c r="A117" s="381" t="s">
        <v>479</v>
      </c>
      <c r="B117" s="237">
        <v>0.06</v>
      </c>
      <c r="C117" s="233">
        <f t="shared" si="31"/>
        <v>0.002106</v>
      </c>
      <c r="D117" s="243">
        <f ca="1" t="shared" si="32"/>
        <v>1</v>
      </c>
      <c r="E117" s="146" t="str">
        <f t="shared" si="33"/>
        <v>Wagon maker, Barrel maker (Carpenter)</v>
      </c>
      <c r="F117" s="245"/>
      <c r="G117" s="143"/>
      <c r="L117" s="376" t="s">
        <v>864</v>
      </c>
      <c r="M117" s="372" t="s">
        <v>930</v>
      </c>
      <c r="N117" s="298"/>
      <c r="O117" s="298"/>
      <c r="P117" s="298"/>
      <c r="Q117" s="298"/>
      <c r="R117" s="298">
        <v>1</v>
      </c>
      <c r="S117" s="302">
        <v>1</v>
      </c>
    </row>
    <row r="118" spans="1:19" ht="13.5" thickBot="1">
      <c r="A118" s="381" t="s">
        <v>451</v>
      </c>
      <c r="B118" s="237">
        <v>0.04</v>
      </c>
      <c r="C118" s="233">
        <f t="shared" si="31"/>
        <v>0.001404</v>
      </c>
      <c r="D118" s="243">
        <f ca="1" t="shared" si="32"/>
        <v>0</v>
      </c>
      <c r="E118" s="146">
        <f t="shared" si="33"/>
      </c>
      <c r="F118" s="245"/>
      <c r="G118" s="143"/>
      <c r="L118" s="378" t="s">
        <v>865</v>
      </c>
      <c r="M118" s="373" t="s">
        <v>931</v>
      </c>
      <c r="N118" s="304">
        <v>2</v>
      </c>
      <c r="O118" s="304"/>
      <c r="P118" s="304"/>
      <c r="Q118" s="304"/>
      <c r="R118" s="304">
        <v>2</v>
      </c>
      <c r="S118" s="305">
        <v>-2</v>
      </c>
    </row>
    <row r="119" spans="1:19" ht="14.25" thickBot="1" thickTop="1">
      <c r="A119" s="151" t="s">
        <v>256</v>
      </c>
      <c r="B119" s="102">
        <f>SUM(B98:B118)</f>
        <v>1.0000000000000002</v>
      </c>
      <c r="C119" s="79">
        <f>INDEX(AC3:AC9,K3)*INDEX(AC13:AC19,R3)</f>
        <v>0.0351</v>
      </c>
      <c r="D119" s="255">
        <f>SUM(D98:D118)</f>
        <v>8</v>
      </c>
      <c r="E119" s="32"/>
      <c r="F119" s="32"/>
      <c r="G119" s="341"/>
      <c r="N119" s="291"/>
      <c r="O119" s="291"/>
      <c r="P119" s="291"/>
      <c r="Q119" s="291"/>
      <c r="R119" s="291"/>
      <c r="S119" s="291"/>
    </row>
    <row r="120" spans="1:19" ht="13.5" thickBot="1">
      <c r="A120" s="142"/>
      <c r="G120" s="341"/>
      <c r="N120" s="291"/>
      <c r="O120" s="291"/>
      <c r="P120" s="291"/>
      <c r="Q120" s="291"/>
      <c r="R120" s="291"/>
      <c r="S120" s="291"/>
    </row>
    <row r="121" spans="1:19" ht="24.75" thickBot="1">
      <c r="A121" s="250" t="s">
        <v>436</v>
      </c>
      <c r="B121" s="254" t="s">
        <v>515</v>
      </c>
      <c r="C121" s="254" t="s">
        <v>393</v>
      </c>
      <c r="D121" s="241" t="s">
        <v>755</v>
      </c>
      <c r="E121" s="214"/>
      <c r="F121" s="215"/>
      <c r="G121" s="340"/>
      <c r="N121" s="291"/>
      <c r="O121" s="291"/>
      <c r="P121" s="291"/>
      <c r="Q121" s="291"/>
      <c r="R121" s="291"/>
      <c r="S121" s="291"/>
    </row>
    <row r="122" spans="1:7" ht="13.5" thickTop="1">
      <c r="A122" s="381" t="s">
        <v>461</v>
      </c>
      <c r="B122" s="237">
        <v>0.08</v>
      </c>
      <c r="C122" s="233">
        <f aca="true" t="shared" si="34" ref="C122:C127">B122*$C$134</f>
        <v>0.00048</v>
      </c>
      <c r="D122" s="243">
        <f aca="true" ca="1" t="shared" si="35" ref="D122:D127">TRUNC(C122*$F$3)+IF(RAND()&gt;MOD(C122*$F$3,1),0,1)</f>
        <v>0</v>
      </c>
      <c r="E122" s="146">
        <f aca="true" t="shared" si="36" ref="E122:E127">IF(D122&gt;0,A122,"")</f>
      </c>
      <c r="F122" s="245"/>
      <c r="G122" s="143"/>
    </row>
    <row r="123" spans="1:7" ht="12.75">
      <c r="A123" s="381" t="s">
        <v>432</v>
      </c>
      <c r="B123" s="237">
        <v>0.08</v>
      </c>
      <c r="C123" s="233">
        <f t="shared" si="34"/>
        <v>0.00048</v>
      </c>
      <c r="D123" s="243">
        <f ca="1" t="shared" si="35"/>
        <v>0</v>
      </c>
      <c r="E123" s="146">
        <f t="shared" si="36"/>
      </c>
      <c r="F123" s="245"/>
      <c r="G123" s="143"/>
    </row>
    <row r="124" spans="1:7" ht="12.75">
      <c r="A124" s="381" t="s">
        <v>454</v>
      </c>
      <c r="B124" s="237">
        <v>0.08</v>
      </c>
      <c r="C124" s="233">
        <f t="shared" si="34"/>
        <v>0.00048</v>
      </c>
      <c r="D124" s="243">
        <f ca="1" t="shared" si="35"/>
        <v>1</v>
      </c>
      <c r="E124" s="146" t="str">
        <f t="shared" si="36"/>
        <v>Bank or Trading house (Merchant)</v>
      </c>
      <c r="F124" s="245"/>
      <c r="G124" s="143"/>
    </row>
    <row r="125" spans="1:7" ht="12.75">
      <c r="A125" s="381" t="s">
        <v>453</v>
      </c>
      <c r="B125" s="237">
        <v>0.05</v>
      </c>
      <c r="C125" s="233">
        <f t="shared" si="34"/>
        <v>0.00030000000000000003</v>
      </c>
      <c r="D125" s="243">
        <f ca="1" t="shared" si="35"/>
        <v>0</v>
      </c>
      <c r="E125" s="146">
        <f t="shared" si="36"/>
      </c>
      <c r="F125" s="245"/>
      <c r="G125" s="143"/>
    </row>
    <row r="126" spans="1:7" ht="12.75">
      <c r="A126" s="381" t="s">
        <v>431</v>
      </c>
      <c r="B126" s="237">
        <v>0.12</v>
      </c>
      <c r="C126" s="233">
        <f t="shared" si="34"/>
        <v>0.0007199999999999999</v>
      </c>
      <c r="D126" s="243">
        <f ca="1" t="shared" si="35"/>
        <v>0</v>
      </c>
      <c r="E126" s="146">
        <f t="shared" si="36"/>
      </c>
      <c r="F126" s="245"/>
      <c r="G126" s="143"/>
    </row>
    <row r="127" spans="1:7" ht="12.75">
      <c r="A127" s="381" t="s">
        <v>433</v>
      </c>
      <c r="B127" s="237">
        <v>0.15</v>
      </c>
      <c r="C127" s="233">
        <f t="shared" si="34"/>
        <v>0.0009</v>
      </c>
      <c r="D127" s="243">
        <f ca="1" t="shared" si="35"/>
        <v>0</v>
      </c>
      <c r="E127" s="146">
        <f t="shared" si="36"/>
      </c>
      <c r="F127" s="245"/>
      <c r="G127" s="143"/>
    </row>
    <row r="128" spans="1:7" ht="12.75">
      <c r="A128" s="145"/>
      <c r="B128" s="237"/>
      <c r="C128" s="233"/>
      <c r="D128" s="243"/>
      <c r="E128" s="146"/>
      <c r="F128" s="245"/>
      <c r="G128" s="143"/>
    </row>
    <row r="129" spans="1:7" ht="12.75">
      <c r="A129" s="150" t="s">
        <v>624</v>
      </c>
      <c r="B129" s="239"/>
      <c r="C129" s="239"/>
      <c r="D129" s="239"/>
      <c r="E129" s="124"/>
      <c r="F129" s="239"/>
      <c r="G129" s="143"/>
    </row>
    <row r="130" spans="1:7" ht="12.75">
      <c r="A130" s="381" t="s">
        <v>633</v>
      </c>
      <c r="B130" s="237">
        <v>0.1</v>
      </c>
      <c r="C130" s="233">
        <f>B130*$C$134</f>
        <v>0.0006000000000000001</v>
      </c>
      <c r="D130" s="243">
        <f ca="1">TRUNC(C130*$F$3)+IF(RAND()&gt;MOD(C130*$F$3,1),0,1)</f>
        <v>0</v>
      </c>
      <c r="E130" s="146">
        <f>IF(D130&gt;0,A130,"")</f>
      </c>
      <c r="F130" s="245"/>
      <c r="G130" s="143"/>
    </row>
    <row r="131" spans="1:7" ht="12.75">
      <c r="A131" s="381" t="s">
        <v>452</v>
      </c>
      <c r="B131" s="237">
        <v>0.12</v>
      </c>
      <c r="C131" s="233">
        <f>B131*$C$134</f>
        <v>0.0007199999999999999</v>
      </c>
      <c r="D131" s="243">
        <f ca="1">TRUNC(C131*$F$3)+IF(RAND()&gt;MOD(C131*$F$3,1),0,1)</f>
        <v>0</v>
      </c>
      <c r="E131" s="146">
        <f>IF(D131&gt;0,A131,"")</f>
      </c>
      <c r="F131" s="245"/>
      <c r="G131" s="143"/>
    </row>
    <row r="132" spans="1:7" ht="12.75">
      <c r="A132" s="381" t="s">
        <v>455</v>
      </c>
      <c r="B132" s="237">
        <v>0.1</v>
      </c>
      <c r="C132" s="233">
        <f>B132*$C$134</f>
        <v>0.0006000000000000001</v>
      </c>
      <c r="D132" s="243">
        <f ca="1">TRUNC(C132*$F$3)+IF(RAND()&gt;MOD(C132*$F$3,1),0,1)</f>
        <v>0</v>
      </c>
      <c r="E132" s="146">
        <f>IF(D132&gt;0,A132,"")</f>
      </c>
      <c r="F132" s="245"/>
      <c r="G132" s="143"/>
    </row>
    <row r="133" spans="1:7" ht="13.5" thickBot="1">
      <c r="A133" s="381" t="s">
        <v>456</v>
      </c>
      <c r="B133" s="237">
        <v>0.12</v>
      </c>
      <c r="C133" s="233">
        <f>B133*$C$134</f>
        <v>0.0007199999999999999</v>
      </c>
      <c r="D133" s="243">
        <f ca="1">TRUNC(C133*$F$3)+IF(RAND()&gt;MOD(C133*$F$3,1),0,1)</f>
        <v>0</v>
      </c>
      <c r="E133" s="146">
        <f>IF(D133&gt;0,A133,"")</f>
      </c>
      <c r="F133" s="245"/>
      <c r="G133" s="143"/>
    </row>
    <row r="134" spans="1:7" ht="14.25" thickBot="1" thickTop="1">
      <c r="A134" s="151" t="s">
        <v>256</v>
      </c>
      <c r="B134" s="102">
        <f>SUM(B122:B133)</f>
        <v>0.9999999999999999</v>
      </c>
      <c r="C134" s="79">
        <f>INDEX(AD3:AD9,K3)*INDEX(AD13:AD19,R3)</f>
        <v>0.006</v>
      </c>
      <c r="D134" s="255">
        <f>SUM(D122:D133)</f>
        <v>1</v>
      </c>
      <c r="E134" s="32"/>
      <c r="F134" s="32"/>
      <c r="G134" s="341"/>
    </row>
    <row r="135" spans="1:9" ht="13.5" thickBot="1">
      <c r="A135" s="386"/>
      <c r="G135" s="363"/>
      <c r="H135" s="123"/>
      <c r="I135" s="123"/>
    </row>
    <row r="136" spans="1:9" ht="15.75">
      <c r="A136" s="235" t="s">
        <v>748</v>
      </c>
      <c r="B136" s="213"/>
      <c r="C136" s="213"/>
      <c r="D136" s="214"/>
      <c r="E136" s="215"/>
      <c r="F136" s="215"/>
      <c r="G136" s="355"/>
      <c r="H136" s="119"/>
      <c r="I136" s="119"/>
    </row>
    <row r="137" spans="1:9" ht="12.75">
      <c r="A137" s="227" t="s">
        <v>750</v>
      </c>
      <c r="B137" s="222" t="str">
        <f>Data_Temples!C8</f>
        <v>Beory</v>
      </c>
      <c r="C137" s="223">
        <f ca="1">TRUNC($F$3*$A$138*Data_Temples!E8)+IF(RAND()&gt;MOD($F$3*$A$138*Data_Temples!E8,1),0,1)</f>
        <v>0</v>
      </c>
      <c r="D137" s="224" t="str">
        <f>Data_Temples!C18</f>
        <v>Procan</v>
      </c>
      <c r="E137" s="223">
        <f ca="1">TRUNC($F$3*$A$138*Data_Temples!E18)+IF(RAND()&gt;MOD($F$3*$A$138*Data_Temples!E18,1),0,1)</f>
        <v>0</v>
      </c>
      <c r="F137" s="224" t="str">
        <f>Data_Temples!C28</f>
        <v>Lirr</v>
      </c>
      <c r="G137" s="356">
        <f ca="1">TRUNC($F$3*$A$138*Data_Temples!E28)+IF(RAND()&gt;MOD($F$3*$A$138*Data_Temples!E28,1),0,1)</f>
        <v>0</v>
      </c>
      <c r="H137" s="221"/>
      <c r="I137" s="221"/>
    </row>
    <row r="138" spans="1:9" ht="12.75">
      <c r="A138" s="258">
        <f>INDEX(AE3:AE9,K3)*INDEX(AE13:AE19,R3)</f>
        <v>0.022000000000000002</v>
      </c>
      <c r="B138" s="225" t="str">
        <f>Data_Temples!C9</f>
        <v>Boccob</v>
      </c>
      <c r="C138" s="221">
        <f ca="1">TRUNC($F$3*$A$138*Data_Temples!E9)+IF(RAND()&gt;MOD($F$3*$A$138*Data_Temples!E9,1),0,1)</f>
        <v>0</v>
      </c>
      <c r="D138" s="217" t="str">
        <f>Data_Temples!C19</f>
        <v>St-Cuthbert</v>
      </c>
      <c r="E138" s="221">
        <f ca="1">TRUNC($F$3*$A$138*Data_Temples!E19)+IF(RAND()&gt;MOD($F$3*$A$138*Data_Temples!E19,1),0,1)</f>
        <v>1</v>
      </c>
      <c r="F138" s="217" t="str">
        <f>Data_Temples!C29</f>
        <v>Myhriss</v>
      </c>
      <c r="G138" s="352">
        <f ca="1">TRUNC($F$3*$A$138*Data_Temples!E29)+IF(RAND()&gt;MOD($F$3*$A$138*Data_Temples!E29,1),0,1)</f>
        <v>0</v>
      </c>
      <c r="H138" s="221"/>
      <c r="I138" s="221"/>
    </row>
    <row r="139" spans="1:10" ht="12.75">
      <c r="A139" s="142"/>
      <c r="B139" s="225" t="str">
        <f>Data_Temples!C10</f>
        <v>Pelor</v>
      </c>
      <c r="C139" s="221">
        <f ca="1">TRUNC($F$3*$A$138*Data_Temples!E10)+IF(RAND()&gt;MOD($F$3*$A$138*Data_Temples!E10,1),0,1)</f>
        <v>1</v>
      </c>
      <c r="D139" s="217" t="str">
        <f>Data_Temples!C20</f>
        <v>Trithereon</v>
      </c>
      <c r="E139" s="221">
        <f ca="1">TRUNC($F$3*$A$138*Data_Temples!E20)+IF(RAND()&gt;MOD($F$3*$A$138*Data_Temples!E20,1),0,1)</f>
        <v>0</v>
      </c>
      <c r="F139" s="217" t="str">
        <f>Data_Temples!C30</f>
        <v>Osprem</v>
      </c>
      <c r="G139" s="352">
        <f ca="1">TRUNC($F$3*$A$138*Data_Temples!E30)+IF(RAND()&gt;MOD($F$3*$A$138*Data_Temples!E30,1),0,1)</f>
        <v>0</v>
      </c>
      <c r="H139" s="221"/>
      <c r="I139" s="221"/>
      <c r="J139" s="321"/>
    </row>
    <row r="140" spans="1:10" ht="12.75">
      <c r="A140" s="366" t="s">
        <v>752</v>
      </c>
      <c r="B140" s="225" t="str">
        <f>Data_Temples!C11</f>
        <v>Rao</v>
      </c>
      <c r="C140" s="221">
        <f ca="1">TRUNC($F$3*$A$138*Data_Temples!E11)+IF(RAND()&gt;MOD($F$3*$A$138*Data_Temples!E11,1),0,1)</f>
        <v>0</v>
      </c>
      <c r="D140" s="217" t="str">
        <f>Data_Temples!C21</f>
        <v>Ulaa</v>
      </c>
      <c r="E140" s="221">
        <f ca="1">TRUNC($F$3*$A$138*Data_Temples!E21)+IF(RAND()&gt;MOD($F$3*$A$138*Data_Temples!E21,1),0,1)</f>
        <v>0</v>
      </c>
      <c r="F140" s="217" t="str">
        <f>Data_Temples!C31</f>
        <v>Sotillon</v>
      </c>
      <c r="G140" s="352">
        <f ca="1">TRUNC($F$3*$A$138*Data_Temples!E31)+IF(RAND()&gt;MOD($F$3*$A$138*Data_Temples!E31,1),0,1)</f>
        <v>0</v>
      </c>
      <c r="H140" s="221"/>
      <c r="I140" s="221"/>
      <c r="J140" s="335"/>
    </row>
    <row r="141" spans="1:10" ht="12.75">
      <c r="A141" s="368">
        <f>SUM(C137:C146)+SUM(E137:E146)+SUM(G137:G146)</f>
        <v>6</v>
      </c>
      <c r="B141" s="225" t="str">
        <f>Data_Temples!C12</f>
        <v>Celestian</v>
      </c>
      <c r="C141" s="221">
        <f ca="1">TRUNC($F$3*$A$138*Data_Temples!E12)+IF(RAND()&gt;MOD($F$3*$A$138*Data_Temples!E12,1),0,1)</f>
        <v>1</v>
      </c>
      <c r="D141" s="217" t="str">
        <f>Data_Temples!C22</f>
        <v>Zilchus</v>
      </c>
      <c r="E141" s="221">
        <f ca="1">TRUNC($F$3*$A$138*Data_Temples!E22)+IF(RAND()&gt;MOD($F$3*$A$138*Data_Temples!E22,1),0,1)</f>
        <v>0</v>
      </c>
      <c r="F141" s="217" t="str">
        <f>Data_Temples!C32</f>
        <v>Telchur</v>
      </c>
      <c r="G141" s="352">
        <f ca="1">TRUNC($F$3*$A$138*Data_Temples!E32)+IF(RAND()&gt;MOD($F$3*$A$138*Data_Temples!E32,1),0,1)</f>
        <v>1</v>
      </c>
      <c r="H141" s="221"/>
      <c r="I141" s="221"/>
      <c r="J141" s="336"/>
    </row>
    <row r="142" spans="1:10" ht="12.75">
      <c r="A142" s="367">
        <f>A141/$F$3</f>
        <v>0.023644388398486756</v>
      </c>
      <c r="B142" s="225" t="str">
        <f>Data_Temples!C13</f>
        <v>Ehlonna</v>
      </c>
      <c r="C142" s="221">
        <f ca="1">TRUNC($F$3*$A$138*Data_Temples!E13)+IF(RAND()&gt;MOD($F$3*$A$138*Data_Temples!E13,1),0,1)</f>
        <v>0</v>
      </c>
      <c r="D142" s="217" t="str">
        <f>Data_Temples!C23</f>
        <v>Atroa</v>
      </c>
      <c r="E142" s="221">
        <f ca="1">TRUNC($F$3*$A$138*Data_Temples!E23)+IF(RAND()&gt;MOD($F$3*$A$138*Data_Temples!E23,1),0,1)</f>
        <v>0</v>
      </c>
      <c r="F142" s="217" t="str">
        <f>Data_Temples!C33</f>
        <v>Velnius</v>
      </c>
      <c r="G142" s="352">
        <f ca="1">TRUNC($F$3*$A$138*Data_Temples!E33)+IF(RAND()&gt;MOD($F$3*$A$138*Data_Temples!E33,1),0,1)</f>
        <v>0</v>
      </c>
      <c r="H142" s="221"/>
      <c r="I142" s="221"/>
      <c r="J142" s="336"/>
    </row>
    <row r="143" spans="1:10" ht="12.75">
      <c r="A143" s="142"/>
      <c r="B143" s="225" t="str">
        <f>Data_Temples!C14</f>
        <v>Farlangh</v>
      </c>
      <c r="C143" s="221">
        <f ca="1">TRUNC($F$3*$A$138*Data_Temples!E14)+IF(RAND()&gt;MOD($F$3*$A$138*Data_Temples!E14,1),0,1)</f>
        <v>0</v>
      </c>
      <c r="D143" s="217" t="str">
        <f>Data_Temples!C24</f>
        <v>Berei</v>
      </c>
      <c r="E143" s="221">
        <f ca="1">TRUNC($F$3*$A$138*Data_Temples!E24)+IF(RAND()&gt;MOD($F$3*$A$138*Data_Temples!E24,1),0,1)</f>
        <v>1</v>
      </c>
      <c r="F143" s="217" t="str">
        <f>Data_Temples!C34</f>
        <v>Zodal</v>
      </c>
      <c r="G143" s="352">
        <f ca="1">TRUNC($F$3*$A$138*Data_Temples!E34)+IF(RAND()&gt;MOD($F$3*$A$138*Data_Temples!E34,1),0,1)</f>
        <v>0</v>
      </c>
      <c r="H143" s="221"/>
      <c r="I143" s="221"/>
      <c r="J143" s="336"/>
    </row>
    <row r="144" spans="1:10" ht="12.75">
      <c r="A144" s="142"/>
      <c r="B144" s="225" t="str">
        <f>Data_Temples!C15</f>
        <v>Heironeous</v>
      </c>
      <c r="C144" s="221">
        <f ca="1">TRUNC($F$3*$A$138*Data_Temples!E15)+IF(RAND()&gt;MOD($F$3*$A$138*Data_Temples!E15,1),0,1)</f>
        <v>0</v>
      </c>
      <c r="D144" s="217" t="str">
        <f>Data_Temples!C25</f>
        <v>Bleredd</v>
      </c>
      <c r="E144" s="221">
        <f ca="1">TRUNC($F$3*$A$138*Data_Temples!E25)+IF(RAND()&gt;MOD($F$3*$A$138*Data_Temples!E25,1),0,1)</f>
        <v>0</v>
      </c>
      <c r="F144" s="217" t="str">
        <f>Data_Temples!C35</f>
        <v>Mayaheine</v>
      </c>
      <c r="G144" s="352">
        <f ca="1">TRUNC($F$3*$A$138*Data_Temples!E35)+IF(RAND()&gt;MOD($F$3*$A$138*Data_Temples!E35,1),0,1)</f>
        <v>0</v>
      </c>
      <c r="H144" s="221"/>
      <c r="I144" s="221"/>
      <c r="J144" s="336"/>
    </row>
    <row r="145" spans="1:10" ht="12.75">
      <c r="A145" s="142"/>
      <c r="B145" s="225" t="str">
        <f>Data_Temples!C16</f>
        <v>Olidammara</v>
      </c>
      <c r="C145" s="221">
        <f ca="1">TRUNC($F$3*$A$138*Data_Temples!E16)+IF(RAND()&gt;MOD($F$3*$A$138*Data_Temples!E16,1),0,1)</f>
        <v>1</v>
      </c>
      <c r="D145" s="217" t="str">
        <f>Data_Temples!C26</f>
        <v>Cyndor</v>
      </c>
      <c r="E145" s="221">
        <f ca="1">TRUNC($F$3*$A$138*Data_Temples!E26)+IF(RAND()&gt;MOD($F$3*$A$138*Data_Temples!E26,1),0,1)</f>
        <v>0</v>
      </c>
      <c r="F145" s="217" t="str">
        <f>Data_Temples!C36</f>
        <v>Rudd</v>
      </c>
      <c r="G145" s="352">
        <f ca="1">TRUNC($F$3*$A$138*Data_Temples!E36)+IF(RAND()&gt;MOD($F$3*$A$138*Data_Temples!E36,1),0,1)</f>
        <v>0</v>
      </c>
      <c r="H145" s="221"/>
      <c r="I145" s="221"/>
      <c r="J145" s="336"/>
    </row>
    <row r="146" spans="1:10" ht="13.5" thickBot="1">
      <c r="A146" s="148"/>
      <c r="B146" s="226" t="str">
        <f>Data_Temples!C17</f>
        <v>Pholtus</v>
      </c>
      <c r="C146" s="219">
        <f ca="1">TRUNC($F$3*$A$138*Data_Temples!E17)+IF(RAND()&gt;MOD($F$3*$A$138*Data_Temples!E17,1),0,1)</f>
        <v>0</v>
      </c>
      <c r="D146" s="220" t="str">
        <f>Data_Temples!C27</f>
        <v>Delleb</v>
      </c>
      <c r="E146" s="219">
        <f ca="1">TRUNC($F$3*$A$138*Data_Temples!E27)+IF(RAND()&gt;MOD($F$3*$A$138*Data_Temples!E27,1),0,1)</f>
        <v>0</v>
      </c>
      <c r="F146" s="220" t="str">
        <f>Data_Temples!C37</f>
        <v>Miscellaneous</v>
      </c>
      <c r="G146" s="357">
        <f ca="1">TRUNC($F$3*$A$138*Data_Temples!E37)+IF(RAND()&gt;MOD($F$3*$A$138*Data_Temples!E37,1),0,1)</f>
        <v>0</v>
      </c>
      <c r="H146" s="221"/>
      <c r="I146" s="221"/>
      <c r="J146" s="336"/>
    </row>
    <row r="147" spans="1:10" ht="13.5" thickBot="1">
      <c r="A147" s="148"/>
      <c r="B147" s="216"/>
      <c r="C147" s="221"/>
      <c r="D147" s="217"/>
      <c r="E147" s="221"/>
      <c r="F147" s="217"/>
      <c r="G147" s="352"/>
      <c r="H147" s="221"/>
      <c r="I147" s="221"/>
      <c r="J147" s="336"/>
    </row>
    <row r="148" spans="1:10" ht="15.75">
      <c r="A148" s="235" t="s">
        <v>258</v>
      </c>
      <c r="B148" s="213"/>
      <c r="C148" s="213"/>
      <c r="D148" s="214"/>
      <c r="E148" s="215"/>
      <c r="F148" s="215"/>
      <c r="G148" s="355"/>
      <c r="H148" s="119"/>
      <c r="I148" s="119"/>
      <c r="J148" s="336"/>
    </row>
    <row r="149" spans="1:10" ht="12.75">
      <c r="A149" s="227" t="s">
        <v>749</v>
      </c>
      <c r="B149" s="222" t="str">
        <f>Data_Temples!C8</f>
        <v>Beory</v>
      </c>
      <c r="C149" s="223">
        <f ca="1">TRUNC($F$3*$A$150*Data_Temples!E8)+IF(RAND()&gt;MOD($F$3*$A$150*Data_Temples!E8,1),0,1)</f>
        <v>0</v>
      </c>
      <c r="D149" s="224" t="str">
        <f>Data_Temples!C18</f>
        <v>Procan</v>
      </c>
      <c r="E149" s="223">
        <f ca="1">TRUNC($F$3*$A$150*Data_Temples!E18)+IF(RAND()&gt;MOD($F$3*$A$150*Data_Temples!E18,1),0,1)</f>
        <v>0</v>
      </c>
      <c r="F149" s="224" t="str">
        <f>Data_Temples!C28</f>
        <v>Lirr</v>
      </c>
      <c r="G149" s="356">
        <f ca="1">TRUNC($F$3*$A$150*Data_Temples!E28)+IF(RAND()&gt;MOD($F$3*$A$150*Data_Temples!E28,1),0,1)</f>
        <v>0</v>
      </c>
      <c r="H149" s="221"/>
      <c r="I149" s="221"/>
      <c r="J149" s="336"/>
    </row>
    <row r="150" spans="1:10" ht="12.75">
      <c r="A150" s="259">
        <v>0.015</v>
      </c>
      <c r="B150" s="225" t="str">
        <f>Data_Temples!C9</f>
        <v>Boccob</v>
      </c>
      <c r="C150" s="221">
        <f ca="1">TRUNC($F$3*$A$150*Data_Temples!E9)+IF(RAND()&gt;MOD($F$3*$A$150*Data_Temples!E9,1),0,1)</f>
        <v>0</v>
      </c>
      <c r="D150" s="217" t="str">
        <f>Data_Temples!C19</f>
        <v>St-Cuthbert</v>
      </c>
      <c r="E150" s="221">
        <f ca="1">TRUNC($F$3*$A$150*Data_Temples!E19)+IF(RAND()&gt;MOD($F$3*$A$150*Data_Temples!E19,1),0,1)</f>
        <v>0</v>
      </c>
      <c r="F150" s="217" t="str">
        <f>Data_Temples!C29</f>
        <v>Myhriss</v>
      </c>
      <c r="G150" s="352">
        <f ca="1">TRUNC($F$3*$A$150*Data_Temples!E29)+IF(RAND()&gt;MOD($F$3*$A$150*Data_Temples!E29,1),0,1)</f>
        <v>0</v>
      </c>
      <c r="H150" s="221"/>
      <c r="I150" s="221"/>
      <c r="J150" s="336"/>
    </row>
    <row r="151" spans="1:10" ht="12.75">
      <c r="A151" s="142"/>
      <c r="B151" s="225" t="str">
        <f>Data_Temples!C10</f>
        <v>Pelor</v>
      </c>
      <c r="C151" s="221">
        <f ca="1">TRUNC($F$3*$A$150*Data_Temples!E10)+IF(RAND()&gt;MOD($F$3*$A$150*Data_Temples!E10,1),0,1)</f>
        <v>1</v>
      </c>
      <c r="D151" s="217" t="str">
        <f>Data_Temples!C20</f>
        <v>Trithereon</v>
      </c>
      <c r="E151" s="221">
        <f ca="1">TRUNC($F$3*$A$150*Data_Temples!E20)+IF(RAND()&gt;MOD($F$3*$A$150*Data_Temples!E20,1),0,1)</f>
        <v>0</v>
      </c>
      <c r="F151" s="217" t="str">
        <f>Data_Temples!C30</f>
        <v>Osprem</v>
      </c>
      <c r="G151" s="352">
        <f ca="1">TRUNC($F$3*$A$150*Data_Temples!E30)+IF(RAND()&gt;MOD($F$3*$A$150*Data_Temples!E30,1),0,1)</f>
        <v>0</v>
      </c>
      <c r="H151" s="221"/>
      <c r="I151" s="221"/>
      <c r="J151" s="336"/>
    </row>
    <row r="152" spans="1:10" ht="12.75">
      <c r="A152" s="366" t="s">
        <v>751</v>
      </c>
      <c r="B152" s="225" t="str">
        <f>Data_Temples!C11</f>
        <v>Rao</v>
      </c>
      <c r="C152" s="221">
        <f ca="1">TRUNC($F$3*$A$150*Data_Temples!E11)+IF(RAND()&gt;MOD($F$3*$A$150*Data_Temples!E11,1),0,1)</f>
        <v>0</v>
      </c>
      <c r="D152" s="217" t="str">
        <f>Data_Temples!C21</f>
        <v>Ulaa</v>
      </c>
      <c r="E152" s="221">
        <f ca="1">TRUNC($F$3*$A$150*Data_Temples!E21)+IF(RAND()&gt;MOD($F$3*$A$150*Data_Temples!E21,1),0,1)</f>
        <v>0</v>
      </c>
      <c r="F152" s="217" t="str">
        <f>Data_Temples!C31</f>
        <v>Sotillon</v>
      </c>
      <c r="G152" s="352">
        <f ca="1">TRUNC($F$3*$A$150*Data_Temples!E31)+IF(RAND()&gt;MOD($F$3*$A$150*Data_Temples!E31,1),0,1)</f>
        <v>0</v>
      </c>
      <c r="H152" s="221"/>
      <c r="I152" s="221"/>
      <c r="J152" s="335"/>
    </row>
    <row r="153" spans="1:10" ht="12.75">
      <c r="A153" s="368">
        <f>SUM(C149:C158)+SUM(E149:E158)+SUM(G149:G158)</f>
        <v>4</v>
      </c>
      <c r="B153" s="225" t="str">
        <f>Data_Temples!C12</f>
        <v>Celestian</v>
      </c>
      <c r="C153" s="221">
        <f ca="1">TRUNC($F$3*$A$150*Data_Temples!E12)+IF(RAND()&gt;MOD($F$3*$A$150*Data_Temples!E12,1),0,1)</f>
        <v>0</v>
      </c>
      <c r="D153" s="217" t="str">
        <f>Data_Temples!C22</f>
        <v>Zilchus</v>
      </c>
      <c r="E153" s="221">
        <f ca="1">TRUNC($F$3*$A$150*Data_Temples!E22)+IF(RAND()&gt;MOD($F$3*$A$150*Data_Temples!E22,1),0,1)</f>
        <v>1</v>
      </c>
      <c r="F153" s="217" t="str">
        <f>Data_Temples!C32</f>
        <v>Telchur</v>
      </c>
      <c r="G153" s="352">
        <f ca="1">TRUNC($F$3*$A$150*Data_Temples!E32)+IF(RAND()&gt;MOD($F$3*$A$150*Data_Temples!E32,1),0,1)</f>
        <v>0</v>
      </c>
      <c r="H153" s="221"/>
      <c r="I153" s="221"/>
      <c r="J153" s="336"/>
    </row>
    <row r="154" spans="1:10" ht="12.75">
      <c r="A154" s="367">
        <f>A153/$F$3</f>
        <v>0.015762925598991173</v>
      </c>
      <c r="B154" s="225" t="str">
        <f>Data_Temples!C13</f>
        <v>Ehlonna</v>
      </c>
      <c r="C154" s="221">
        <f ca="1">TRUNC($F$3*$A$150*Data_Temples!E13)+IF(RAND()&gt;MOD($F$3*$A$150*Data_Temples!E13,1),0,1)</f>
        <v>0</v>
      </c>
      <c r="D154" s="217" t="str">
        <f>Data_Temples!C23</f>
        <v>Atroa</v>
      </c>
      <c r="E154" s="221">
        <f ca="1">TRUNC($F$3*$A$150*Data_Temples!E23)+IF(RAND()&gt;MOD($F$3*$A$150*Data_Temples!E23,1),0,1)</f>
        <v>0</v>
      </c>
      <c r="F154" s="217" t="str">
        <f>Data_Temples!C33</f>
        <v>Velnius</v>
      </c>
      <c r="G154" s="352">
        <f ca="1">TRUNC($F$3*$A$150*Data_Temples!E33)+IF(RAND()&gt;MOD($F$3*$A$150*Data_Temples!E33,1),0,1)</f>
        <v>0</v>
      </c>
      <c r="H154" s="221"/>
      <c r="I154" s="221"/>
      <c r="J154" s="336"/>
    </row>
    <row r="155" spans="1:10" ht="12.75">
      <c r="A155" s="142"/>
      <c r="B155" s="225" t="str">
        <f>Data_Temples!C14</f>
        <v>Farlangh</v>
      </c>
      <c r="C155" s="221">
        <f ca="1">TRUNC($F$3*$A$150*Data_Temples!E14)+IF(RAND()&gt;MOD($F$3*$A$150*Data_Temples!E14,1),0,1)</f>
        <v>0</v>
      </c>
      <c r="D155" s="217" t="str">
        <f>Data_Temples!C24</f>
        <v>Berei</v>
      </c>
      <c r="E155" s="221">
        <f ca="1">TRUNC($F$3*$A$150*Data_Temples!E24)+IF(RAND()&gt;MOD($F$3*$A$150*Data_Temples!E24,1),0,1)</f>
        <v>0</v>
      </c>
      <c r="F155" s="217" t="str">
        <f>Data_Temples!C34</f>
        <v>Zodal</v>
      </c>
      <c r="G155" s="352">
        <f ca="1">TRUNC($F$3*$A$150*Data_Temples!E34)+IF(RAND()&gt;MOD($F$3*$A$150*Data_Temples!E34,1),0,1)</f>
        <v>0</v>
      </c>
      <c r="H155" s="221"/>
      <c r="I155" s="221"/>
      <c r="J155" s="336"/>
    </row>
    <row r="156" spans="1:10" ht="12.75">
      <c r="A156" s="142"/>
      <c r="B156" s="225" t="str">
        <f>Data_Temples!C15</f>
        <v>Heironeous</v>
      </c>
      <c r="C156" s="221">
        <f ca="1">TRUNC($F$3*$A$150*Data_Temples!E15)+IF(RAND()&gt;MOD($F$3*$A$150*Data_Temples!E15,1),0,1)</f>
        <v>0</v>
      </c>
      <c r="D156" s="217" t="str">
        <f>Data_Temples!C25</f>
        <v>Bleredd</v>
      </c>
      <c r="E156" s="221">
        <f ca="1">TRUNC($F$3*$A$150*Data_Temples!E25)+IF(RAND()&gt;MOD($F$3*$A$150*Data_Temples!E25,1),0,1)</f>
        <v>0</v>
      </c>
      <c r="F156" s="217" t="str">
        <f>Data_Temples!C35</f>
        <v>Mayaheine</v>
      </c>
      <c r="G156" s="352">
        <f ca="1">TRUNC($F$3*$A$150*Data_Temples!E35)+IF(RAND()&gt;MOD($F$3*$A$150*Data_Temples!E35,1),0,1)</f>
        <v>1</v>
      </c>
      <c r="H156" s="221"/>
      <c r="I156" s="221"/>
      <c r="J156" s="336"/>
    </row>
    <row r="157" spans="1:10" ht="12.75">
      <c r="A157" s="142"/>
      <c r="B157" s="225" t="str">
        <f>Data_Temples!C16</f>
        <v>Olidammara</v>
      </c>
      <c r="C157" s="221">
        <f ca="1">TRUNC($F$3*$A$150*Data_Temples!E16)+IF(RAND()&gt;MOD($F$3*$A$150*Data_Temples!E16,1),0,1)</f>
        <v>0</v>
      </c>
      <c r="D157" s="217" t="str">
        <f>Data_Temples!C26</f>
        <v>Cyndor</v>
      </c>
      <c r="E157" s="221">
        <f ca="1">TRUNC($F$3*$A$150*Data_Temples!E26)+IF(RAND()&gt;MOD($F$3*$A$150*Data_Temples!E26,1),0,1)</f>
        <v>0</v>
      </c>
      <c r="F157" s="217" t="str">
        <f>Data_Temples!C36</f>
        <v>Rudd</v>
      </c>
      <c r="G157" s="352">
        <f ca="1">TRUNC($F$3*$A$150*Data_Temples!E36)+IF(RAND()&gt;MOD($F$3*$A$150*Data_Temples!E36,1),0,1)</f>
        <v>0</v>
      </c>
      <c r="H157" s="221"/>
      <c r="I157" s="221"/>
      <c r="J157" s="336"/>
    </row>
    <row r="158" spans="1:10" ht="13.5" thickBot="1">
      <c r="A158" s="148"/>
      <c r="B158" s="226" t="str">
        <f>Data_Temples!C17</f>
        <v>Pholtus</v>
      </c>
      <c r="C158" s="219">
        <f ca="1">TRUNC($F$3*$A$150*Data_Temples!E17)+IF(RAND()&gt;MOD($F$3*$A$150*Data_Temples!E17,1),0,1)</f>
        <v>0</v>
      </c>
      <c r="D158" s="220" t="str">
        <f>Data_Temples!C27</f>
        <v>Delleb</v>
      </c>
      <c r="E158" s="219">
        <f ca="1">TRUNC($F$3*$A$150*Data_Temples!E27)+IF(RAND()&gt;MOD($F$3*$A$150*Data_Temples!E27,1),0,1)</f>
        <v>1</v>
      </c>
      <c r="F158" s="220" t="str">
        <f>Data_Temples!C37</f>
        <v>Miscellaneous</v>
      </c>
      <c r="G158" s="357">
        <f ca="1">TRUNC($F$3*$A$150*Data_Temples!E37)+IF(RAND()&gt;MOD($F$3*$A$150*Data_Temples!E37,1),0,1)</f>
        <v>0</v>
      </c>
      <c r="H158" s="221"/>
      <c r="I158" s="221"/>
      <c r="J158" s="336"/>
    </row>
    <row r="159" spans="1:10" ht="13.5" thickBot="1">
      <c r="A159" s="142"/>
      <c r="B159" s="124"/>
      <c r="C159" s="124"/>
      <c r="D159" s="124"/>
      <c r="E159" s="124"/>
      <c r="F159" s="124"/>
      <c r="G159" s="363"/>
      <c r="H159" s="124"/>
      <c r="I159" s="124"/>
      <c r="J159" s="336"/>
    </row>
    <row r="160" spans="1:10" ht="36.75" thickBot="1">
      <c r="A160" s="235" t="s">
        <v>290</v>
      </c>
      <c r="B160" s="1"/>
      <c r="C160" s="254" t="s">
        <v>756</v>
      </c>
      <c r="D160" s="254" t="s">
        <v>393</v>
      </c>
      <c r="E160" s="241" t="s">
        <v>755</v>
      </c>
      <c r="F160" s="214"/>
      <c r="G160" s="143"/>
      <c r="J160" s="336"/>
    </row>
    <row r="161" spans="1:10" ht="13.5" thickTop="1">
      <c r="A161" s="227" t="s">
        <v>757</v>
      </c>
      <c r="B161" s="257" t="s">
        <v>12</v>
      </c>
      <c r="C161" s="121">
        <v>0.07</v>
      </c>
      <c r="D161" s="152">
        <f aca="true" t="shared" si="37" ref="D161:D171">C161*$D$172</f>
        <v>0.000252</v>
      </c>
      <c r="E161" s="243">
        <f aca="true" ca="1" t="shared" si="38" ref="E161:E171">TRUNC(D161*$F$3)+IF(RAND()&gt;MOD(D161*$F$3,1),0,1)</f>
        <v>1</v>
      </c>
      <c r="F161" s="146" t="str">
        <f aca="true" t="shared" si="39" ref="F161:F171">IF(E161&gt;0,B161,"")</f>
        <v>Druid</v>
      </c>
      <c r="G161" s="143"/>
      <c r="J161" s="336"/>
    </row>
    <row r="162" spans="1:10" ht="12.75">
      <c r="A162" s="258">
        <f>INDEX(AF3:AF9,K3)*INDEX(AF13:AF19,R3)</f>
        <v>0.0036</v>
      </c>
      <c r="B162" s="257" t="s">
        <v>13</v>
      </c>
      <c r="C162" s="121">
        <v>0.1</v>
      </c>
      <c r="D162" s="152">
        <f t="shared" si="37"/>
        <v>0.00036</v>
      </c>
      <c r="E162" s="243">
        <f ca="1" t="shared" si="38"/>
        <v>0</v>
      </c>
      <c r="F162" s="146">
        <f t="shared" si="39"/>
      </c>
      <c r="G162" s="143"/>
      <c r="J162" s="336"/>
    </row>
    <row r="163" spans="1:10" ht="12.75">
      <c r="A163" s="142"/>
      <c r="B163" s="257" t="s">
        <v>14</v>
      </c>
      <c r="C163" s="121">
        <v>0.1</v>
      </c>
      <c r="D163" s="152">
        <f t="shared" si="37"/>
        <v>0.00036</v>
      </c>
      <c r="E163" s="243">
        <f ca="1" t="shared" si="38"/>
        <v>0</v>
      </c>
      <c r="F163" s="146">
        <f t="shared" si="39"/>
      </c>
      <c r="G163" s="143"/>
      <c r="J163" s="319"/>
    </row>
    <row r="164" spans="1:7" ht="12.75">
      <c r="A164" s="142"/>
      <c r="B164" s="257" t="s">
        <v>15</v>
      </c>
      <c r="C164" s="121">
        <v>0.1</v>
      </c>
      <c r="D164" s="152">
        <f t="shared" si="37"/>
        <v>0.00036</v>
      </c>
      <c r="E164" s="243">
        <f ca="1" t="shared" si="38"/>
        <v>1</v>
      </c>
      <c r="F164" s="146" t="str">
        <f t="shared" si="39"/>
        <v>Fire</v>
      </c>
      <c r="G164" s="143"/>
    </row>
    <row r="165" spans="1:7" ht="12.75">
      <c r="A165" s="142"/>
      <c r="B165" s="257" t="s">
        <v>16</v>
      </c>
      <c r="C165" s="121">
        <v>0.1</v>
      </c>
      <c r="D165" s="152">
        <f t="shared" si="37"/>
        <v>0.00036</v>
      </c>
      <c r="E165" s="243">
        <f ca="1" t="shared" si="38"/>
        <v>1</v>
      </c>
      <c r="F165" s="146" t="str">
        <f t="shared" si="39"/>
        <v>Water</v>
      </c>
      <c r="G165" s="143"/>
    </row>
    <row r="166" spans="1:7" ht="12.75">
      <c r="A166" s="142"/>
      <c r="B166" s="257" t="s">
        <v>17</v>
      </c>
      <c r="C166" s="121">
        <v>0.1</v>
      </c>
      <c r="D166" s="152">
        <f t="shared" si="37"/>
        <v>0.00036</v>
      </c>
      <c r="E166" s="243">
        <f ca="1" t="shared" si="38"/>
        <v>0</v>
      </c>
      <c r="F166" s="146">
        <f t="shared" si="39"/>
      </c>
      <c r="G166" s="143"/>
    </row>
    <row r="167" spans="1:7" ht="12.75">
      <c r="A167" s="142"/>
      <c r="B167" s="257" t="s">
        <v>18</v>
      </c>
      <c r="C167" s="121">
        <v>0.03</v>
      </c>
      <c r="D167" s="152">
        <f t="shared" si="37"/>
        <v>0.000108</v>
      </c>
      <c r="E167" s="243">
        <f ca="1" t="shared" si="38"/>
        <v>0</v>
      </c>
      <c r="F167" s="146">
        <f t="shared" si="39"/>
      </c>
      <c r="G167" s="143"/>
    </row>
    <row r="168" spans="1:7" ht="12.75">
      <c r="A168" s="142"/>
      <c r="B168" s="257" t="s">
        <v>19</v>
      </c>
      <c r="C168" s="121">
        <v>0.08</v>
      </c>
      <c r="D168" s="152">
        <f t="shared" si="37"/>
        <v>0.000288</v>
      </c>
      <c r="E168" s="243">
        <f ca="1" t="shared" si="38"/>
        <v>0</v>
      </c>
      <c r="F168" s="146">
        <f t="shared" si="39"/>
      </c>
      <c r="G168" s="143"/>
    </row>
    <row r="169" spans="1:7" ht="12.75">
      <c r="A169" s="142"/>
      <c r="B169" s="257" t="s">
        <v>20</v>
      </c>
      <c r="C169" s="121">
        <v>0.08</v>
      </c>
      <c r="D169" s="152">
        <f t="shared" si="37"/>
        <v>0.000288</v>
      </c>
      <c r="E169" s="243">
        <f ca="1" t="shared" si="38"/>
        <v>0</v>
      </c>
      <c r="F169" s="146">
        <f t="shared" si="39"/>
      </c>
      <c r="G169" s="143"/>
    </row>
    <row r="170" spans="1:7" ht="12.75">
      <c r="A170" s="142"/>
      <c r="B170" s="257" t="s">
        <v>21</v>
      </c>
      <c r="C170" s="121">
        <v>0.04</v>
      </c>
      <c r="D170" s="152">
        <f t="shared" si="37"/>
        <v>0.000144</v>
      </c>
      <c r="E170" s="243">
        <f ca="1" t="shared" si="38"/>
        <v>0</v>
      </c>
      <c r="F170" s="146">
        <f t="shared" si="39"/>
      </c>
      <c r="G170" s="143"/>
    </row>
    <row r="171" spans="1:7" ht="13.5" thickBot="1">
      <c r="A171" s="142"/>
      <c r="B171" s="257" t="s">
        <v>22</v>
      </c>
      <c r="C171" s="121">
        <v>0.2</v>
      </c>
      <c r="D171" s="152">
        <f t="shared" si="37"/>
        <v>0.00072</v>
      </c>
      <c r="E171" s="243">
        <f ca="1" t="shared" si="38"/>
        <v>0</v>
      </c>
      <c r="F171" s="146">
        <f t="shared" si="39"/>
      </c>
      <c r="G171" s="143"/>
    </row>
    <row r="172" spans="1:7" ht="14.25" thickBot="1" thickTop="1">
      <c r="A172" s="151"/>
      <c r="B172" s="251" t="s">
        <v>256</v>
      </c>
      <c r="C172" s="102">
        <f>SUM(C161:C171)</f>
        <v>1</v>
      </c>
      <c r="D172" s="103">
        <f>A162</f>
        <v>0.0036</v>
      </c>
      <c r="E172" s="255">
        <f>SUM(E161:E171)</f>
        <v>3</v>
      </c>
      <c r="F172" s="32"/>
      <c r="G172" s="341"/>
    </row>
    <row r="173" spans="1:9" ht="13.5" thickBot="1">
      <c r="A173" s="191"/>
      <c r="B173" s="192"/>
      <c r="C173" s="231"/>
      <c r="D173" s="192"/>
      <c r="E173" s="192"/>
      <c r="F173" s="192"/>
      <c r="G173" s="193"/>
      <c r="H173" s="124"/>
      <c r="I173" s="124"/>
    </row>
    <row r="174" ht="13.5" thickTop="1"/>
    <row r="175" ht="12.75"/>
    <row r="176" ht="12.75"/>
    <row r="177" ht="12.75">
      <c r="J177" s="319"/>
    </row>
    <row r="182" ht="12.75"/>
    <row r="183" ht="12.75"/>
    <row r="184" ht="12.75"/>
  </sheetData>
  <sheetProtection/>
  <mergeCells count="8">
    <mergeCell ref="B32:G32"/>
    <mergeCell ref="B33:G33"/>
    <mergeCell ref="E16:G16"/>
    <mergeCell ref="B26:G26"/>
    <mergeCell ref="B29:G29"/>
    <mergeCell ref="B28:G28"/>
    <mergeCell ref="B30:G30"/>
    <mergeCell ref="B31:G31"/>
  </mergeCells>
  <printOptions/>
  <pageMargins left="0.1968503937007874" right="0.1968503937007874" top="0.1968503937007874" bottom="0.1968503937007874" header="0.5118110236220472" footer="0.5118110236220472"/>
  <pageSetup horizontalDpi="360" verticalDpi="360" orientation="portrait" r:id="rId3"/>
  <rowBreaks count="3" manualBreakCount="3">
    <brk id="37" max="6" man="1"/>
    <brk id="71" max="6" man="1"/>
    <brk id="119" max="6" man="1"/>
  </rowBreaks>
  <ignoredErrors>
    <ignoredError sqref="AI13:AI19" formulaRange="1"/>
  </ignoredErrors>
  <legacyDrawing r:id="rId2"/>
</worksheet>
</file>

<file path=xl/worksheets/sheet5.xml><?xml version="1.0" encoding="utf-8"?>
<worksheet xmlns="http://schemas.openxmlformats.org/spreadsheetml/2006/main" xmlns:r="http://schemas.openxmlformats.org/officeDocument/2006/relationships">
  <dimension ref="A2:AA541"/>
  <sheetViews>
    <sheetView zoomScalePageLayoutView="0" workbookViewId="0" topLeftCell="A1">
      <selection activeCell="E28" sqref="E28"/>
    </sheetView>
  </sheetViews>
  <sheetFormatPr defaultColWidth="9.140625" defaultRowHeight="12.75"/>
  <cols>
    <col min="4" max="4" width="13.57421875" style="0" customWidth="1"/>
    <col min="5" max="5" width="9.140625" style="0" customWidth="1"/>
    <col min="6" max="6" width="15.57421875" style="0" customWidth="1"/>
    <col min="7" max="7" width="16.8515625" style="0" customWidth="1"/>
  </cols>
  <sheetData>
    <row r="2" ht="15">
      <c r="B2" s="211" t="s">
        <v>743</v>
      </c>
    </row>
    <row r="5" spans="2:18" ht="12.75">
      <c r="B5" s="18"/>
      <c r="D5" s="18"/>
      <c r="H5" s="19" t="s">
        <v>258</v>
      </c>
      <c r="R5" s="19" t="s">
        <v>259</v>
      </c>
    </row>
    <row r="6" spans="2:27" ht="12.75">
      <c r="B6" s="20"/>
      <c r="C6" s="21"/>
      <c r="D6" s="20"/>
      <c r="E6" s="21"/>
      <c r="F6" s="452" t="s">
        <v>261</v>
      </c>
      <c r="G6" s="453"/>
      <c r="H6" s="22" t="s">
        <v>23</v>
      </c>
      <c r="I6" s="20" t="s">
        <v>24</v>
      </c>
      <c r="J6" s="20" t="s">
        <v>25</v>
      </c>
      <c r="K6" s="20" t="s">
        <v>26</v>
      </c>
      <c r="L6" s="20" t="s">
        <v>27</v>
      </c>
      <c r="M6" s="20" t="s">
        <v>28</v>
      </c>
      <c r="N6" s="20" t="s">
        <v>29</v>
      </c>
      <c r="O6" s="20" t="s">
        <v>30</v>
      </c>
      <c r="P6" s="20" t="s">
        <v>31</v>
      </c>
      <c r="Q6" s="20" t="s">
        <v>32</v>
      </c>
      <c r="R6" s="22" t="s">
        <v>23</v>
      </c>
      <c r="S6" s="20" t="s">
        <v>24</v>
      </c>
      <c r="T6" s="20" t="s">
        <v>25</v>
      </c>
      <c r="U6" s="20" t="s">
        <v>26</v>
      </c>
      <c r="V6" s="20" t="s">
        <v>27</v>
      </c>
      <c r="W6" s="20" t="s">
        <v>28</v>
      </c>
      <c r="X6" s="20" t="s">
        <v>29</v>
      </c>
      <c r="Y6" s="20" t="s">
        <v>30</v>
      </c>
      <c r="Z6" s="20" t="s">
        <v>31</v>
      </c>
      <c r="AA6" s="20" t="s">
        <v>32</v>
      </c>
    </row>
    <row r="7" spans="2:27" ht="12.75">
      <c r="B7" s="20" t="s">
        <v>33</v>
      </c>
      <c r="C7" s="21"/>
      <c r="D7" s="20" t="s">
        <v>742</v>
      </c>
      <c r="E7" s="20" t="s">
        <v>260</v>
      </c>
      <c r="F7" s="20" t="s">
        <v>2</v>
      </c>
      <c r="G7" s="20" t="s">
        <v>4</v>
      </c>
      <c r="H7" s="23">
        <f ca="1">RAND()</f>
        <v>0.8969104685467982</v>
      </c>
      <c r="I7" s="24">
        <f aca="true" ca="1" t="shared" si="0" ref="I7:AA7">RAND()</f>
        <v>0.02758058457665613</v>
      </c>
      <c r="J7" s="24">
        <f ca="1" t="shared" si="0"/>
        <v>0.8783527354375213</v>
      </c>
      <c r="K7" s="24">
        <f ca="1" t="shared" si="0"/>
        <v>0.8563797629754737</v>
      </c>
      <c r="L7" s="24">
        <f ca="1" t="shared" si="0"/>
        <v>0.48995789530334555</v>
      </c>
      <c r="M7" s="24">
        <f ca="1" t="shared" si="0"/>
        <v>0.6014416413275905</v>
      </c>
      <c r="N7" s="24">
        <f ca="1" t="shared" si="0"/>
        <v>0.5569856423235315</v>
      </c>
      <c r="O7" s="24">
        <f ca="1" t="shared" si="0"/>
        <v>0.3600973666536783</v>
      </c>
      <c r="P7" s="24">
        <f ca="1" t="shared" si="0"/>
        <v>0.8450543973532869</v>
      </c>
      <c r="Q7" s="24">
        <f ca="1" t="shared" si="0"/>
        <v>0.11327953358595688</v>
      </c>
      <c r="R7" s="23">
        <f ca="1" t="shared" si="0"/>
        <v>0.2508989072551435</v>
      </c>
      <c r="S7" s="24">
        <f ca="1" t="shared" si="0"/>
        <v>0.45213582273876696</v>
      </c>
      <c r="T7" s="24">
        <f ca="1" t="shared" si="0"/>
        <v>0.2815250718448482</v>
      </c>
      <c r="U7" s="24">
        <f ca="1" t="shared" si="0"/>
        <v>0.6076091336536604</v>
      </c>
      <c r="V7" s="24">
        <f ca="1" t="shared" si="0"/>
        <v>0.22675482919349077</v>
      </c>
      <c r="W7" s="24">
        <f ca="1" t="shared" si="0"/>
        <v>0.4542756281596009</v>
      </c>
      <c r="X7" s="24">
        <f ca="1" t="shared" si="0"/>
        <v>0.947207018634869</v>
      </c>
      <c r="Y7" s="24">
        <f ca="1" t="shared" si="0"/>
        <v>0.9163870543968627</v>
      </c>
      <c r="Z7" s="24">
        <f ca="1" t="shared" si="0"/>
        <v>0.787648613483843</v>
      </c>
      <c r="AA7" s="24">
        <f ca="1" t="shared" si="0"/>
        <v>0.8141096112130436</v>
      </c>
    </row>
    <row r="8" spans="1:27" ht="12.75">
      <c r="A8">
        <v>1</v>
      </c>
      <c r="B8" s="18" t="s">
        <v>35</v>
      </c>
      <c r="C8" s="78" t="s">
        <v>36</v>
      </c>
      <c r="D8" s="208">
        <v>40</v>
      </c>
      <c r="E8" s="25">
        <f aca="true" t="shared" si="1" ref="E8:E37">D8/$D$39</f>
        <v>0.010416666666666666</v>
      </c>
      <c r="F8" s="26">
        <v>0</v>
      </c>
      <c r="G8" s="25">
        <f aca="true" t="shared" si="2" ref="G8:G30">F8+E8</f>
        <v>0.010416666666666666</v>
      </c>
      <c r="H8" s="27">
        <f aca="true" t="shared" si="3" ref="H8:AA8">IF(AND(H$7&gt;$F8,H$7&lt;=$G8),$A8,0)</f>
        <v>0</v>
      </c>
      <c r="I8" s="18">
        <f t="shared" si="3"/>
        <v>0</v>
      </c>
      <c r="J8" s="18">
        <f t="shared" si="3"/>
        <v>0</v>
      </c>
      <c r="K8" s="18">
        <f t="shared" si="3"/>
        <v>0</v>
      </c>
      <c r="L8" s="18">
        <f t="shared" si="3"/>
        <v>0</v>
      </c>
      <c r="M8" s="18">
        <f t="shared" si="3"/>
        <v>0</v>
      </c>
      <c r="N8" s="18">
        <f t="shared" si="3"/>
        <v>0</v>
      </c>
      <c r="O8" s="18">
        <f t="shared" si="3"/>
        <v>0</v>
      </c>
      <c r="P8" s="18">
        <f t="shared" si="3"/>
        <v>0</v>
      </c>
      <c r="Q8" s="43">
        <f t="shared" si="3"/>
        <v>0</v>
      </c>
      <c r="R8" s="27">
        <f t="shared" si="3"/>
        <v>0</v>
      </c>
      <c r="S8" s="18">
        <f t="shared" si="3"/>
        <v>0</v>
      </c>
      <c r="T8" s="18">
        <f t="shared" si="3"/>
        <v>0</v>
      </c>
      <c r="U8" s="18">
        <f t="shared" si="3"/>
        <v>0</v>
      </c>
      <c r="V8" s="18">
        <f t="shared" si="3"/>
        <v>0</v>
      </c>
      <c r="W8" s="18">
        <f t="shared" si="3"/>
        <v>0</v>
      </c>
      <c r="X8" s="18">
        <f t="shared" si="3"/>
        <v>0</v>
      </c>
      <c r="Y8" s="18">
        <f t="shared" si="3"/>
        <v>0</v>
      </c>
      <c r="Z8" s="18">
        <f t="shared" si="3"/>
        <v>0</v>
      </c>
      <c r="AA8" s="18">
        <f t="shared" si="3"/>
        <v>0</v>
      </c>
    </row>
    <row r="9" spans="1:27" ht="12.75">
      <c r="A9">
        <f>A8+1</f>
        <v>2</v>
      </c>
      <c r="B9" s="44" t="s">
        <v>35</v>
      </c>
      <c r="C9" s="78" t="s">
        <v>262</v>
      </c>
      <c r="D9" s="208">
        <v>60</v>
      </c>
      <c r="E9" s="25">
        <f t="shared" si="1"/>
        <v>0.015625</v>
      </c>
      <c r="F9" s="25">
        <f>G8</f>
        <v>0.010416666666666666</v>
      </c>
      <c r="G9" s="25">
        <f t="shared" si="2"/>
        <v>0.026041666666666664</v>
      </c>
      <c r="H9" s="27">
        <f aca="true" t="shared" si="4" ref="H9:W24">IF(AND(H$7&gt;$F9,H$7&lt;=$G9),$A9,0)</f>
        <v>0</v>
      </c>
      <c r="I9" s="18">
        <f t="shared" si="4"/>
        <v>0</v>
      </c>
      <c r="J9" s="18">
        <f t="shared" si="4"/>
        <v>0</v>
      </c>
      <c r="K9" s="18">
        <f t="shared" si="4"/>
        <v>0</v>
      </c>
      <c r="L9" s="18">
        <f t="shared" si="4"/>
        <v>0</v>
      </c>
      <c r="M9" s="18">
        <f t="shared" si="4"/>
        <v>0</v>
      </c>
      <c r="N9" s="18">
        <f t="shared" si="4"/>
        <v>0</v>
      </c>
      <c r="O9" s="18">
        <f t="shared" si="4"/>
        <v>0</v>
      </c>
      <c r="P9" s="18">
        <f t="shared" si="4"/>
        <v>0</v>
      </c>
      <c r="Q9" s="43">
        <f t="shared" si="4"/>
        <v>0</v>
      </c>
      <c r="R9" s="27">
        <f t="shared" si="4"/>
        <v>0</v>
      </c>
      <c r="S9" s="18">
        <f t="shared" si="4"/>
        <v>0</v>
      </c>
      <c r="T9" s="18">
        <f t="shared" si="4"/>
        <v>0</v>
      </c>
      <c r="U9" s="18">
        <f t="shared" si="4"/>
        <v>0</v>
      </c>
      <c r="V9" s="18">
        <f t="shared" si="4"/>
        <v>0</v>
      </c>
      <c r="W9" s="18">
        <f t="shared" si="4"/>
        <v>0</v>
      </c>
      <c r="X9" s="18">
        <f aca="true" t="shared" si="5" ref="X9:AA37">IF(AND(X$7&gt;$F9,X$7&lt;=$G9),$A9,0)</f>
        <v>0</v>
      </c>
      <c r="Y9" s="18">
        <f t="shared" si="5"/>
        <v>0</v>
      </c>
      <c r="Z9" s="18">
        <f t="shared" si="5"/>
        <v>0</v>
      </c>
      <c r="AA9" s="18">
        <f t="shared" si="5"/>
        <v>0</v>
      </c>
    </row>
    <row r="10" spans="1:27" ht="12.75">
      <c r="A10">
        <f aca="true" t="shared" si="6" ref="A10:A37">A9+1</f>
        <v>3</v>
      </c>
      <c r="B10" s="18" t="s">
        <v>35</v>
      </c>
      <c r="C10" s="78" t="s">
        <v>37</v>
      </c>
      <c r="D10" s="208">
        <v>326</v>
      </c>
      <c r="E10" s="25">
        <f t="shared" si="1"/>
        <v>0.08489583333333334</v>
      </c>
      <c r="F10" s="25">
        <f>G9</f>
        <v>0.026041666666666664</v>
      </c>
      <c r="G10" s="25">
        <f t="shared" si="2"/>
        <v>0.1109375</v>
      </c>
      <c r="H10" s="27">
        <f t="shared" si="4"/>
        <v>0</v>
      </c>
      <c r="I10" s="18">
        <f t="shared" si="4"/>
        <v>3</v>
      </c>
      <c r="J10" s="18">
        <f t="shared" si="4"/>
        <v>0</v>
      </c>
      <c r="K10" s="18">
        <f t="shared" si="4"/>
        <v>0</v>
      </c>
      <c r="L10" s="18">
        <f t="shared" si="4"/>
        <v>0</v>
      </c>
      <c r="M10" s="18">
        <f t="shared" si="4"/>
        <v>0</v>
      </c>
      <c r="N10" s="18">
        <f t="shared" si="4"/>
        <v>0</v>
      </c>
      <c r="O10" s="18">
        <f t="shared" si="4"/>
        <v>0</v>
      </c>
      <c r="P10" s="18">
        <f t="shared" si="4"/>
        <v>0</v>
      </c>
      <c r="Q10" s="43">
        <f t="shared" si="4"/>
        <v>0</v>
      </c>
      <c r="R10" s="27">
        <f t="shared" si="4"/>
        <v>0</v>
      </c>
      <c r="S10" s="18">
        <f t="shared" si="4"/>
        <v>0</v>
      </c>
      <c r="T10" s="18">
        <f t="shared" si="4"/>
        <v>0</v>
      </c>
      <c r="U10" s="18">
        <f t="shared" si="4"/>
        <v>0</v>
      </c>
      <c r="V10" s="18">
        <f t="shared" si="4"/>
        <v>0</v>
      </c>
      <c r="W10" s="18">
        <f t="shared" si="4"/>
        <v>0</v>
      </c>
      <c r="X10" s="18">
        <f t="shared" si="5"/>
        <v>0</v>
      </c>
      <c r="Y10" s="18">
        <f t="shared" si="5"/>
        <v>0</v>
      </c>
      <c r="Z10" s="18">
        <f t="shared" si="5"/>
        <v>0</v>
      </c>
      <c r="AA10" s="18">
        <f t="shared" si="5"/>
        <v>0</v>
      </c>
    </row>
    <row r="11" spans="1:27" ht="13.5" thickBot="1">
      <c r="A11">
        <f t="shared" si="6"/>
        <v>4</v>
      </c>
      <c r="B11" s="18" t="s">
        <v>35</v>
      </c>
      <c r="C11" s="78" t="s">
        <v>38</v>
      </c>
      <c r="D11" s="208">
        <v>125</v>
      </c>
      <c r="E11" s="25">
        <f t="shared" si="1"/>
        <v>0.032552083333333336</v>
      </c>
      <c r="F11" s="25">
        <f aca="true" t="shared" si="7" ref="F11:F29">G10</f>
        <v>0.1109375</v>
      </c>
      <c r="G11" s="25">
        <f t="shared" si="2"/>
        <v>0.14348958333333334</v>
      </c>
      <c r="H11" s="27">
        <f t="shared" si="4"/>
        <v>0</v>
      </c>
      <c r="I11" s="18">
        <f t="shared" si="4"/>
        <v>0</v>
      </c>
      <c r="J11" s="18">
        <f t="shared" si="4"/>
        <v>0</v>
      </c>
      <c r="K11" s="18">
        <f t="shared" si="4"/>
        <v>0</v>
      </c>
      <c r="L11" s="18">
        <f t="shared" si="4"/>
        <v>0</v>
      </c>
      <c r="M11" s="18">
        <f t="shared" si="4"/>
        <v>0</v>
      </c>
      <c r="N11" s="18">
        <f t="shared" si="4"/>
        <v>0</v>
      </c>
      <c r="O11" s="18">
        <f t="shared" si="4"/>
        <v>0</v>
      </c>
      <c r="P11" s="18">
        <f t="shared" si="4"/>
        <v>0</v>
      </c>
      <c r="Q11" s="43">
        <f t="shared" si="4"/>
        <v>4</v>
      </c>
      <c r="R11" s="27">
        <f t="shared" si="4"/>
        <v>0</v>
      </c>
      <c r="S11" s="18">
        <f t="shared" si="4"/>
        <v>0</v>
      </c>
      <c r="T11" s="18">
        <f t="shared" si="4"/>
        <v>0</v>
      </c>
      <c r="U11" s="18">
        <f t="shared" si="4"/>
        <v>0</v>
      </c>
      <c r="V11" s="18">
        <f t="shared" si="4"/>
        <v>0</v>
      </c>
      <c r="W11" s="18">
        <f t="shared" si="4"/>
        <v>0</v>
      </c>
      <c r="X11" s="18">
        <f t="shared" si="5"/>
        <v>0</v>
      </c>
      <c r="Y11" s="18">
        <f t="shared" si="5"/>
        <v>0</v>
      </c>
      <c r="Z11" s="18">
        <f t="shared" si="5"/>
        <v>0</v>
      </c>
      <c r="AA11" s="18">
        <f t="shared" si="5"/>
        <v>0</v>
      </c>
    </row>
    <row r="12" spans="1:27" ht="12.75">
      <c r="A12">
        <f t="shared" si="6"/>
        <v>5</v>
      </c>
      <c r="B12" s="28" t="s">
        <v>39</v>
      </c>
      <c r="C12" s="210" t="s">
        <v>40</v>
      </c>
      <c r="D12" s="209">
        <v>10</v>
      </c>
      <c r="E12" s="29">
        <f t="shared" si="1"/>
        <v>0.0026041666666666665</v>
      </c>
      <c r="F12" s="29">
        <f t="shared" si="7"/>
        <v>0.14348958333333334</v>
      </c>
      <c r="G12" s="29">
        <f t="shared" si="2"/>
        <v>0.14609375</v>
      </c>
      <c r="H12" s="27">
        <f t="shared" si="4"/>
        <v>0</v>
      </c>
      <c r="I12" s="18">
        <f t="shared" si="4"/>
        <v>0</v>
      </c>
      <c r="J12" s="18">
        <f t="shared" si="4"/>
        <v>0</v>
      </c>
      <c r="K12" s="18">
        <f t="shared" si="4"/>
        <v>0</v>
      </c>
      <c r="L12" s="18">
        <f t="shared" si="4"/>
        <v>0</v>
      </c>
      <c r="M12" s="18">
        <f t="shared" si="4"/>
        <v>0</v>
      </c>
      <c r="N12" s="18">
        <f t="shared" si="4"/>
        <v>0</v>
      </c>
      <c r="O12" s="18">
        <f t="shared" si="4"/>
        <v>0</v>
      </c>
      <c r="P12" s="18">
        <f t="shared" si="4"/>
        <v>0</v>
      </c>
      <c r="Q12" s="43">
        <f t="shared" si="4"/>
        <v>0</v>
      </c>
      <c r="R12" s="27">
        <f t="shared" si="4"/>
        <v>0</v>
      </c>
      <c r="S12" s="18">
        <f t="shared" si="4"/>
        <v>0</v>
      </c>
      <c r="T12" s="18">
        <f t="shared" si="4"/>
        <v>0</v>
      </c>
      <c r="U12" s="18">
        <f t="shared" si="4"/>
        <v>0</v>
      </c>
      <c r="V12" s="18">
        <f t="shared" si="4"/>
        <v>0</v>
      </c>
      <c r="W12" s="18">
        <f t="shared" si="4"/>
        <v>0</v>
      </c>
      <c r="X12" s="18">
        <f t="shared" si="5"/>
        <v>0</v>
      </c>
      <c r="Y12" s="18">
        <f t="shared" si="5"/>
        <v>0</v>
      </c>
      <c r="Z12" s="18">
        <f t="shared" si="5"/>
        <v>0</v>
      </c>
      <c r="AA12" s="18">
        <f t="shared" si="5"/>
        <v>0</v>
      </c>
    </row>
    <row r="13" spans="1:27" ht="12.75">
      <c r="A13">
        <f t="shared" si="6"/>
        <v>6</v>
      </c>
      <c r="B13" s="18" t="s">
        <v>39</v>
      </c>
      <c r="C13" s="78" t="s">
        <v>41</v>
      </c>
      <c r="D13" s="208">
        <v>60</v>
      </c>
      <c r="E13" s="25">
        <f t="shared" si="1"/>
        <v>0.015625</v>
      </c>
      <c r="F13" s="25">
        <f t="shared" si="7"/>
        <v>0.14609375</v>
      </c>
      <c r="G13" s="25">
        <f t="shared" si="2"/>
        <v>0.16171875</v>
      </c>
      <c r="H13" s="27">
        <f t="shared" si="4"/>
        <v>0</v>
      </c>
      <c r="I13" s="18">
        <f t="shared" si="4"/>
        <v>0</v>
      </c>
      <c r="J13" s="18">
        <f t="shared" si="4"/>
        <v>0</v>
      </c>
      <c r="K13" s="18">
        <f t="shared" si="4"/>
        <v>0</v>
      </c>
      <c r="L13" s="18">
        <f t="shared" si="4"/>
        <v>0</v>
      </c>
      <c r="M13" s="18">
        <f t="shared" si="4"/>
        <v>0</v>
      </c>
      <c r="N13" s="18">
        <f t="shared" si="4"/>
        <v>0</v>
      </c>
      <c r="O13" s="18">
        <f t="shared" si="4"/>
        <v>0</v>
      </c>
      <c r="P13" s="18">
        <f t="shared" si="4"/>
        <v>0</v>
      </c>
      <c r="Q13" s="43">
        <f t="shared" si="4"/>
        <v>0</v>
      </c>
      <c r="R13" s="27">
        <f t="shared" si="4"/>
        <v>0</v>
      </c>
      <c r="S13" s="18">
        <f t="shared" si="4"/>
        <v>0</v>
      </c>
      <c r="T13" s="18">
        <f t="shared" si="4"/>
        <v>0</v>
      </c>
      <c r="U13" s="18">
        <f t="shared" si="4"/>
        <v>0</v>
      </c>
      <c r="V13" s="18">
        <f t="shared" si="4"/>
        <v>0</v>
      </c>
      <c r="W13" s="18">
        <f t="shared" si="4"/>
        <v>0</v>
      </c>
      <c r="X13" s="18">
        <f t="shared" si="5"/>
        <v>0</v>
      </c>
      <c r="Y13" s="18">
        <f t="shared" si="5"/>
        <v>0</v>
      </c>
      <c r="Z13" s="18">
        <f t="shared" si="5"/>
        <v>0</v>
      </c>
      <c r="AA13" s="18">
        <f t="shared" si="5"/>
        <v>0</v>
      </c>
    </row>
    <row r="14" spans="1:27" ht="12.75">
      <c r="A14">
        <f t="shared" si="6"/>
        <v>7</v>
      </c>
      <c r="B14" s="18" t="s">
        <v>39</v>
      </c>
      <c r="C14" s="78" t="s">
        <v>42</v>
      </c>
      <c r="D14" s="208">
        <v>65</v>
      </c>
      <c r="E14" s="25">
        <f t="shared" si="1"/>
        <v>0.016927083333333332</v>
      </c>
      <c r="F14" s="25">
        <f t="shared" si="7"/>
        <v>0.16171875</v>
      </c>
      <c r="G14" s="25">
        <f t="shared" si="2"/>
        <v>0.17864583333333334</v>
      </c>
      <c r="H14" s="27">
        <f t="shared" si="4"/>
        <v>0</v>
      </c>
      <c r="I14" s="18">
        <f t="shared" si="4"/>
        <v>0</v>
      </c>
      <c r="J14" s="18">
        <f t="shared" si="4"/>
        <v>0</v>
      </c>
      <c r="K14" s="18">
        <f t="shared" si="4"/>
        <v>0</v>
      </c>
      <c r="L14" s="18">
        <f t="shared" si="4"/>
        <v>0</v>
      </c>
      <c r="M14" s="18">
        <f t="shared" si="4"/>
        <v>0</v>
      </c>
      <c r="N14" s="18">
        <f t="shared" si="4"/>
        <v>0</v>
      </c>
      <c r="O14" s="18">
        <f t="shared" si="4"/>
        <v>0</v>
      </c>
      <c r="P14" s="18">
        <f t="shared" si="4"/>
        <v>0</v>
      </c>
      <c r="Q14" s="43">
        <f t="shared" si="4"/>
        <v>0</v>
      </c>
      <c r="R14" s="27">
        <f t="shared" si="4"/>
        <v>0</v>
      </c>
      <c r="S14" s="18">
        <f t="shared" si="4"/>
        <v>0</v>
      </c>
      <c r="T14" s="18">
        <f t="shared" si="4"/>
        <v>0</v>
      </c>
      <c r="U14" s="18">
        <f t="shared" si="4"/>
        <v>0</v>
      </c>
      <c r="V14" s="18">
        <f t="shared" si="4"/>
        <v>0</v>
      </c>
      <c r="W14" s="18">
        <f t="shared" si="4"/>
        <v>0</v>
      </c>
      <c r="X14" s="18">
        <f t="shared" si="5"/>
        <v>0</v>
      </c>
      <c r="Y14" s="18">
        <f t="shared" si="5"/>
        <v>0</v>
      </c>
      <c r="Z14" s="18">
        <f t="shared" si="5"/>
        <v>0</v>
      </c>
      <c r="AA14" s="18">
        <f t="shared" si="5"/>
        <v>0</v>
      </c>
    </row>
    <row r="15" spans="1:27" ht="12.75">
      <c r="A15">
        <f t="shared" si="6"/>
        <v>8</v>
      </c>
      <c r="B15" s="18" t="s">
        <v>39</v>
      </c>
      <c r="C15" s="78" t="s">
        <v>43</v>
      </c>
      <c r="D15" s="208">
        <v>500</v>
      </c>
      <c r="E15" s="25">
        <f t="shared" si="1"/>
        <v>0.13020833333333334</v>
      </c>
      <c r="F15" s="25">
        <f t="shared" si="7"/>
        <v>0.17864583333333334</v>
      </c>
      <c r="G15" s="25">
        <f t="shared" si="2"/>
        <v>0.30885416666666665</v>
      </c>
      <c r="H15" s="27">
        <f t="shared" si="4"/>
        <v>0</v>
      </c>
      <c r="I15" s="18">
        <f t="shared" si="4"/>
        <v>0</v>
      </c>
      <c r="J15" s="18">
        <f t="shared" si="4"/>
        <v>0</v>
      </c>
      <c r="K15" s="18">
        <f t="shared" si="4"/>
        <v>0</v>
      </c>
      <c r="L15" s="18">
        <f t="shared" si="4"/>
        <v>0</v>
      </c>
      <c r="M15" s="18">
        <f t="shared" si="4"/>
        <v>0</v>
      </c>
      <c r="N15" s="18">
        <f t="shared" si="4"/>
        <v>0</v>
      </c>
      <c r="O15" s="18">
        <f t="shared" si="4"/>
        <v>0</v>
      </c>
      <c r="P15" s="18">
        <f t="shared" si="4"/>
        <v>0</v>
      </c>
      <c r="Q15" s="43">
        <f t="shared" si="4"/>
        <v>0</v>
      </c>
      <c r="R15" s="27">
        <f t="shared" si="4"/>
        <v>8</v>
      </c>
      <c r="S15" s="18">
        <f t="shared" si="4"/>
        <v>0</v>
      </c>
      <c r="T15" s="18">
        <f t="shared" si="4"/>
        <v>8</v>
      </c>
      <c r="U15" s="18">
        <f t="shared" si="4"/>
        <v>0</v>
      </c>
      <c r="V15" s="18">
        <f t="shared" si="4"/>
        <v>8</v>
      </c>
      <c r="W15" s="18">
        <f t="shared" si="4"/>
        <v>0</v>
      </c>
      <c r="X15" s="18">
        <f t="shared" si="5"/>
        <v>0</v>
      </c>
      <c r="Y15" s="18">
        <f t="shared" si="5"/>
        <v>0</v>
      </c>
      <c r="Z15" s="18">
        <f t="shared" si="5"/>
        <v>0</v>
      </c>
      <c r="AA15" s="18">
        <f t="shared" si="5"/>
        <v>0</v>
      </c>
    </row>
    <row r="16" spans="1:27" ht="12.75">
      <c r="A16">
        <f t="shared" si="6"/>
        <v>9</v>
      </c>
      <c r="B16" s="18" t="s">
        <v>39</v>
      </c>
      <c r="C16" s="78" t="s">
        <v>44</v>
      </c>
      <c r="D16" s="208">
        <v>125</v>
      </c>
      <c r="E16" s="25">
        <f t="shared" si="1"/>
        <v>0.032552083333333336</v>
      </c>
      <c r="F16" s="25">
        <f t="shared" si="7"/>
        <v>0.30885416666666665</v>
      </c>
      <c r="G16" s="25">
        <f t="shared" si="2"/>
        <v>0.34140624999999997</v>
      </c>
      <c r="H16" s="27">
        <f t="shared" si="4"/>
        <v>0</v>
      </c>
      <c r="I16" s="18">
        <f t="shared" si="4"/>
        <v>0</v>
      </c>
      <c r="J16" s="18">
        <f t="shared" si="4"/>
        <v>0</v>
      </c>
      <c r="K16" s="18">
        <f t="shared" si="4"/>
        <v>0</v>
      </c>
      <c r="L16" s="18">
        <f t="shared" si="4"/>
        <v>0</v>
      </c>
      <c r="M16" s="18">
        <f t="shared" si="4"/>
        <v>0</v>
      </c>
      <c r="N16" s="18">
        <f t="shared" si="4"/>
        <v>0</v>
      </c>
      <c r="O16" s="18">
        <f t="shared" si="4"/>
        <v>0</v>
      </c>
      <c r="P16" s="18">
        <f t="shared" si="4"/>
        <v>0</v>
      </c>
      <c r="Q16" s="43">
        <f t="shared" si="4"/>
        <v>0</v>
      </c>
      <c r="R16" s="27">
        <f t="shared" si="4"/>
        <v>0</v>
      </c>
      <c r="S16" s="18">
        <f t="shared" si="4"/>
        <v>0</v>
      </c>
      <c r="T16" s="18">
        <f t="shared" si="4"/>
        <v>0</v>
      </c>
      <c r="U16" s="18">
        <f t="shared" si="4"/>
        <v>0</v>
      </c>
      <c r="V16" s="18">
        <f t="shared" si="4"/>
        <v>0</v>
      </c>
      <c r="W16" s="18">
        <f t="shared" si="4"/>
        <v>0</v>
      </c>
      <c r="X16" s="18">
        <f t="shared" si="5"/>
        <v>0</v>
      </c>
      <c r="Y16" s="18">
        <f t="shared" si="5"/>
        <v>0</v>
      </c>
      <c r="Z16" s="18">
        <f t="shared" si="5"/>
        <v>0</v>
      </c>
      <c r="AA16" s="18">
        <f t="shared" si="5"/>
        <v>0</v>
      </c>
    </row>
    <row r="17" spans="1:27" ht="12.75">
      <c r="A17">
        <f t="shared" si="6"/>
        <v>10</v>
      </c>
      <c r="B17" s="18" t="s">
        <v>39</v>
      </c>
      <c r="C17" s="78" t="s">
        <v>45</v>
      </c>
      <c r="D17" s="208">
        <v>60</v>
      </c>
      <c r="E17" s="25">
        <f t="shared" si="1"/>
        <v>0.015625</v>
      </c>
      <c r="F17" s="25">
        <f t="shared" si="7"/>
        <v>0.34140624999999997</v>
      </c>
      <c r="G17" s="25">
        <f t="shared" si="2"/>
        <v>0.35703124999999997</v>
      </c>
      <c r="H17" s="27">
        <f t="shared" si="4"/>
        <v>0</v>
      </c>
      <c r="I17" s="18">
        <f t="shared" si="4"/>
        <v>0</v>
      </c>
      <c r="J17" s="18">
        <f t="shared" si="4"/>
        <v>0</v>
      </c>
      <c r="K17" s="18">
        <f t="shared" si="4"/>
        <v>0</v>
      </c>
      <c r="L17" s="18">
        <f t="shared" si="4"/>
        <v>0</v>
      </c>
      <c r="M17" s="18">
        <f t="shared" si="4"/>
        <v>0</v>
      </c>
      <c r="N17" s="18">
        <f t="shared" si="4"/>
        <v>0</v>
      </c>
      <c r="O17" s="18">
        <f t="shared" si="4"/>
        <v>0</v>
      </c>
      <c r="P17" s="18">
        <f t="shared" si="4"/>
        <v>0</v>
      </c>
      <c r="Q17" s="43">
        <f t="shared" si="4"/>
        <v>0</v>
      </c>
      <c r="R17" s="27">
        <f t="shared" si="4"/>
        <v>0</v>
      </c>
      <c r="S17" s="18">
        <f t="shared" si="4"/>
        <v>0</v>
      </c>
      <c r="T17" s="18">
        <f t="shared" si="4"/>
        <v>0</v>
      </c>
      <c r="U17" s="18">
        <f t="shared" si="4"/>
        <v>0</v>
      </c>
      <c r="V17" s="18">
        <f t="shared" si="4"/>
        <v>0</v>
      </c>
      <c r="W17" s="18">
        <f t="shared" si="4"/>
        <v>0</v>
      </c>
      <c r="X17" s="18">
        <f t="shared" si="5"/>
        <v>0</v>
      </c>
      <c r="Y17" s="18">
        <f t="shared" si="5"/>
        <v>0</v>
      </c>
      <c r="Z17" s="18">
        <f t="shared" si="5"/>
        <v>0</v>
      </c>
      <c r="AA17" s="18">
        <f t="shared" si="5"/>
        <v>0</v>
      </c>
    </row>
    <row r="18" spans="1:27" ht="12.75">
      <c r="A18">
        <f t="shared" si="6"/>
        <v>11</v>
      </c>
      <c r="B18" s="18" t="s">
        <v>39</v>
      </c>
      <c r="C18" s="78" t="s">
        <v>46</v>
      </c>
      <c r="D18" s="208">
        <v>60</v>
      </c>
      <c r="E18" s="25">
        <f t="shared" si="1"/>
        <v>0.015625</v>
      </c>
      <c r="F18" s="25">
        <f t="shared" si="7"/>
        <v>0.35703124999999997</v>
      </c>
      <c r="G18" s="25">
        <f t="shared" si="2"/>
        <v>0.37265624999999997</v>
      </c>
      <c r="H18" s="27">
        <f t="shared" si="4"/>
        <v>0</v>
      </c>
      <c r="I18" s="18">
        <f t="shared" si="4"/>
        <v>0</v>
      </c>
      <c r="J18" s="18">
        <f t="shared" si="4"/>
        <v>0</v>
      </c>
      <c r="K18" s="18">
        <f t="shared" si="4"/>
        <v>0</v>
      </c>
      <c r="L18" s="18">
        <f t="shared" si="4"/>
        <v>0</v>
      </c>
      <c r="M18" s="18">
        <f t="shared" si="4"/>
        <v>0</v>
      </c>
      <c r="N18" s="18">
        <f t="shared" si="4"/>
        <v>0</v>
      </c>
      <c r="O18" s="18">
        <f t="shared" si="4"/>
        <v>11</v>
      </c>
      <c r="P18" s="18">
        <f t="shared" si="4"/>
        <v>0</v>
      </c>
      <c r="Q18" s="43">
        <f t="shared" si="4"/>
        <v>0</v>
      </c>
      <c r="R18" s="27">
        <f t="shared" si="4"/>
        <v>0</v>
      </c>
      <c r="S18" s="18">
        <f t="shared" si="4"/>
        <v>0</v>
      </c>
      <c r="T18" s="18">
        <f t="shared" si="4"/>
        <v>0</v>
      </c>
      <c r="U18" s="18">
        <f t="shared" si="4"/>
        <v>0</v>
      </c>
      <c r="V18" s="18">
        <f t="shared" si="4"/>
        <v>0</v>
      </c>
      <c r="W18" s="18">
        <f t="shared" si="4"/>
        <v>0</v>
      </c>
      <c r="X18" s="18">
        <f t="shared" si="5"/>
        <v>0</v>
      </c>
      <c r="Y18" s="18">
        <f t="shared" si="5"/>
        <v>0</v>
      </c>
      <c r="Z18" s="18">
        <f t="shared" si="5"/>
        <v>0</v>
      </c>
      <c r="AA18" s="18">
        <f t="shared" si="5"/>
        <v>0</v>
      </c>
    </row>
    <row r="19" spans="1:27" ht="12.75">
      <c r="A19">
        <f t="shared" si="6"/>
        <v>12</v>
      </c>
      <c r="B19" s="18" t="s">
        <v>39</v>
      </c>
      <c r="C19" s="78" t="s">
        <v>47</v>
      </c>
      <c r="D19" s="208">
        <v>475</v>
      </c>
      <c r="E19" s="25">
        <f t="shared" si="1"/>
        <v>0.12369791666666667</v>
      </c>
      <c r="F19" s="25">
        <f t="shared" si="7"/>
        <v>0.37265624999999997</v>
      </c>
      <c r="G19" s="25">
        <f t="shared" si="2"/>
        <v>0.49635416666666665</v>
      </c>
      <c r="H19" s="27">
        <f t="shared" si="4"/>
        <v>0</v>
      </c>
      <c r="I19" s="18">
        <f t="shared" si="4"/>
        <v>0</v>
      </c>
      <c r="J19" s="18">
        <f t="shared" si="4"/>
        <v>0</v>
      </c>
      <c r="K19" s="18">
        <f t="shared" si="4"/>
        <v>0</v>
      </c>
      <c r="L19" s="18">
        <f t="shared" si="4"/>
        <v>12</v>
      </c>
      <c r="M19" s="18">
        <f t="shared" si="4"/>
        <v>0</v>
      </c>
      <c r="N19" s="18">
        <f t="shared" si="4"/>
        <v>0</v>
      </c>
      <c r="O19" s="18">
        <f t="shared" si="4"/>
        <v>0</v>
      </c>
      <c r="P19" s="18">
        <f t="shared" si="4"/>
        <v>0</v>
      </c>
      <c r="Q19" s="43">
        <f t="shared" si="4"/>
        <v>0</v>
      </c>
      <c r="R19" s="27">
        <f t="shared" si="4"/>
        <v>0</v>
      </c>
      <c r="S19" s="18">
        <f t="shared" si="4"/>
        <v>12</v>
      </c>
      <c r="T19" s="18">
        <f t="shared" si="4"/>
        <v>0</v>
      </c>
      <c r="U19" s="18">
        <f t="shared" si="4"/>
        <v>0</v>
      </c>
      <c r="V19" s="18">
        <f t="shared" si="4"/>
        <v>0</v>
      </c>
      <c r="W19" s="18">
        <f t="shared" si="4"/>
        <v>12</v>
      </c>
      <c r="X19" s="18">
        <f t="shared" si="5"/>
        <v>0</v>
      </c>
      <c r="Y19" s="18">
        <f t="shared" si="5"/>
        <v>0</v>
      </c>
      <c r="Z19" s="18">
        <f t="shared" si="5"/>
        <v>0</v>
      </c>
      <c r="AA19" s="18">
        <f t="shared" si="5"/>
        <v>0</v>
      </c>
    </row>
    <row r="20" spans="1:27" ht="12.75">
      <c r="A20">
        <f t="shared" si="6"/>
        <v>13</v>
      </c>
      <c r="B20" s="18" t="s">
        <v>39</v>
      </c>
      <c r="C20" s="78" t="s">
        <v>48</v>
      </c>
      <c r="D20" s="208">
        <v>175</v>
      </c>
      <c r="E20" s="25">
        <f t="shared" si="1"/>
        <v>0.045572916666666664</v>
      </c>
      <c r="F20" s="25">
        <f t="shared" si="7"/>
        <v>0.49635416666666665</v>
      </c>
      <c r="G20" s="25">
        <f t="shared" si="2"/>
        <v>0.5419270833333333</v>
      </c>
      <c r="H20" s="27">
        <f t="shared" si="4"/>
        <v>0</v>
      </c>
      <c r="I20" s="18">
        <f t="shared" si="4"/>
        <v>0</v>
      </c>
      <c r="J20" s="18">
        <f t="shared" si="4"/>
        <v>0</v>
      </c>
      <c r="K20" s="18">
        <f t="shared" si="4"/>
        <v>0</v>
      </c>
      <c r="L20" s="18">
        <f t="shared" si="4"/>
        <v>0</v>
      </c>
      <c r="M20" s="18">
        <f t="shared" si="4"/>
        <v>0</v>
      </c>
      <c r="N20" s="18">
        <f t="shared" si="4"/>
        <v>0</v>
      </c>
      <c r="O20" s="18">
        <f t="shared" si="4"/>
        <v>0</v>
      </c>
      <c r="P20" s="18">
        <f t="shared" si="4"/>
        <v>0</v>
      </c>
      <c r="Q20" s="43">
        <f t="shared" si="4"/>
        <v>0</v>
      </c>
      <c r="R20" s="27">
        <f t="shared" si="4"/>
        <v>0</v>
      </c>
      <c r="S20" s="18">
        <f t="shared" si="4"/>
        <v>0</v>
      </c>
      <c r="T20" s="18">
        <f t="shared" si="4"/>
        <v>0</v>
      </c>
      <c r="U20" s="18">
        <f t="shared" si="4"/>
        <v>0</v>
      </c>
      <c r="V20" s="18">
        <f t="shared" si="4"/>
        <v>0</v>
      </c>
      <c r="W20" s="18">
        <f t="shared" si="4"/>
        <v>0</v>
      </c>
      <c r="X20" s="18">
        <f t="shared" si="5"/>
        <v>0</v>
      </c>
      <c r="Y20" s="18">
        <f t="shared" si="5"/>
        <v>0</v>
      </c>
      <c r="Z20" s="18">
        <f t="shared" si="5"/>
        <v>0</v>
      </c>
      <c r="AA20" s="18">
        <f t="shared" si="5"/>
        <v>0</v>
      </c>
    </row>
    <row r="21" spans="1:27" ht="12.75">
      <c r="A21">
        <f t="shared" si="6"/>
        <v>14</v>
      </c>
      <c r="B21" s="18" t="s">
        <v>39</v>
      </c>
      <c r="C21" s="78" t="s">
        <v>49</v>
      </c>
      <c r="D21" s="208">
        <v>45</v>
      </c>
      <c r="E21" s="25">
        <f t="shared" si="1"/>
        <v>0.01171875</v>
      </c>
      <c r="F21" s="25">
        <f t="shared" si="7"/>
        <v>0.5419270833333333</v>
      </c>
      <c r="G21" s="25">
        <f t="shared" si="2"/>
        <v>0.5536458333333333</v>
      </c>
      <c r="H21" s="27">
        <f t="shared" si="4"/>
        <v>0</v>
      </c>
      <c r="I21" s="18">
        <f t="shared" si="4"/>
        <v>0</v>
      </c>
      <c r="J21" s="18">
        <f t="shared" si="4"/>
        <v>0</v>
      </c>
      <c r="K21" s="18">
        <f t="shared" si="4"/>
        <v>0</v>
      </c>
      <c r="L21" s="18">
        <f t="shared" si="4"/>
        <v>0</v>
      </c>
      <c r="M21" s="18">
        <f t="shared" si="4"/>
        <v>0</v>
      </c>
      <c r="N21" s="18">
        <f t="shared" si="4"/>
        <v>0</v>
      </c>
      <c r="O21" s="18">
        <f t="shared" si="4"/>
        <v>0</v>
      </c>
      <c r="P21" s="18">
        <f t="shared" si="4"/>
        <v>0</v>
      </c>
      <c r="Q21" s="43">
        <f t="shared" si="4"/>
        <v>0</v>
      </c>
      <c r="R21" s="27">
        <f t="shared" si="4"/>
        <v>0</v>
      </c>
      <c r="S21" s="18">
        <f t="shared" si="4"/>
        <v>0</v>
      </c>
      <c r="T21" s="18">
        <f t="shared" si="4"/>
        <v>0</v>
      </c>
      <c r="U21" s="18">
        <f t="shared" si="4"/>
        <v>0</v>
      </c>
      <c r="V21" s="18">
        <f t="shared" si="4"/>
        <v>0</v>
      </c>
      <c r="W21" s="18">
        <f t="shared" si="4"/>
        <v>0</v>
      </c>
      <c r="X21" s="18">
        <f t="shared" si="5"/>
        <v>0</v>
      </c>
      <c r="Y21" s="18">
        <f t="shared" si="5"/>
        <v>0</v>
      </c>
      <c r="Z21" s="18">
        <f t="shared" si="5"/>
        <v>0</v>
      </c>
      <c r="AA21" s="18">
        <f t="shared" si="5"/>
        <v>0</v>
      </c>
    </row>
    <row r="22" spans="1:27" ht="13.5" thickBot="1">
      <c r="A22">
        <f t="shared" si="6"/>
        <v>15</v>
      </c>
      <c r="B22" s="18" t="s">
        <v>39</v>
      </c>
      <c r="C22" s="78" t="s">
        <v>50</v>
      </c>
      <c r="D22" s="208">
        <v>300</v>
      </c>
      <c r="E22" s="25">
        <f t="shared" si="1"/>
        <v>0.078125</v>
      </c>
      <c r="F22" s="25">
        <f t="shared" si="7"/>
        <v>0.5536458333333333</v>
      </c>
      <c r="G22" s="25">
        <f t="shared" si="2"/>
        <v>0.6317708333333333</v>
      </c>
      <c r="H22" s="27">
        <f t="shared" si="4"/>
        <v>0</v>
      </c>
      <c r="I22" s="18">
        <f t="shared" si="4"/>
        <v>0</v>
      </c>
      <c r="J22" s="18">
        <f t="shared" si="4"/>
        <v>0</v>
      </c>
      <c r="K22" s="18">
        <f t="shared" si="4"/>
        <v>0</v>
      </c>
      <c r="L22" s="18">
        <f t="shared" si="4"/>
        <v>0</v>
      </c>
      <c r="M22" s="18">
        <f t="shared" si="4"/>
        <v>15</v>
      </c>
      <c r="N22" s="18">
        <f t="shared" si="4"/>
        <v>15</v>
      </c>
      <c r="O22" s="18">
        <f t="shared" si="4"/>
        <v>0</v>
      </c>
      <c r="P22" s="18">
        <f t="shared" si="4"/>
        <v>0</v>
      </c>
      <c r="Q22" s="43">
        <f t="shared" si="4"/>
        <v>0</v>
      </c>
      <c r="R22" s="27">
        <f t="shared" si="4"/>
        <v>0</v>
      </c>
      <c r="S22" s="18">
        <f t="shared" si="4"/>
        <v>0</v>
      </c>
      <c r="T22" s="18">
        <f t="shared" si="4"/>
        <v>0</v>
      </c>
      <c r="U22" s="18">
        <f t="shared" si="4"/>
        <v>15</v>
      </c>
      <c r="V22" s="18">
        <f t="shared" si="4"/>
        <v>0</v>
      </c>
      <c r="W22" s="18">
        <f t="shared" si="4"/>
        <v>0</v>
      </c>
      <c r="X22" s="18">
        <f t="shared" si="5"/>
        <v>0</v>
      </c>
      <c r="Y22" s="18">
        <f t="shared" si="5"/>
        <v>0</v>
      </c>
      <c r="Z22" s="18">
        <f t="shared" si="5"/>
        <v>0</v>
      </c>
      <c r="AA22" s="18">
        <f t="shared" si="5"/>
        <v>0</v>
      </c>
    </row>
    <row r="23" spans="1:27" ht="12.75">
      <c r="A23">
        <f t="shared" si="6"/>
        <v>16</v>
      </c>
      <c r="B23" s="28" t="s">
        <v>51</v>
      </c>
      <c r="C23" s="210" t="s">
        <v>52</v>
      </c>
      <c r="D23" s="209">
        <v>40</v>
      </c>
      <c r="E23" s="29">
        <f t="shared" si="1"/>
        <v>0.010416666666666666</v>
      </c>
      <c r="F23" s="29">
        <f t="shared" si="7"/>
        <v>0.6317708333333333</v>
      </c>
      <c r="G23" s="29">
        <f t="shared" si="2"/>
        <v>0.6421874999999999</v>
      </c>
      <c r="H23" s="27">
        <f t="shared" si="4"/>
        <v>0</v>
      </c>
      <c r="I23" s="18">
        <f t="shared" si="4"/>
        <v>0</v>
      </c>
      <c r="J23" s="18">
        <f t="shared" si="4"/>
        <v>0</v>
      </c>
      <c r="K23" s="18">
        <f t="shared" si="4"/>
        <v>0</v>
      </c>
      <c r="L23" s="18">
        <f t="shared" si="4"/>
        <v>0</v>
      </c>
      <c r="M23" s="18">
        <f t="shared" si="4"/>
        <v>0</v>
      </c>
      <c r="N23" s="18">
        <f t="shared" si="4"/>
        <v>0</v>
      </c>
      <c r="O23" s="18">
        <f t="shared" si="4"/>
        <v>0</v>
      </c>
      <c r="P23" s="18">
        <f t="shared" si="4"/>
        <v>0</v>
      </c>
      <c r="Q23" s="43">
        <f t="shared" si="4"/>
        <v>0</v>
      </c>
      <c r="R23" s="27">
        <f t="shared" si="4"/>
        <v>0</v>
      </c>
      <c r="S23" s="18">
        <f t="shared" si="4"/>
        <v>0</v>
      </c>
      <c r="T23" s="18">
        <f t="shared" si="4"/>
        <v>0</v>
      </c>
      <c r="U23" s="18">
        <f t="shared" si="4"/>
        <v>0</v>
      </c>
      <c r="V23" s="18">
        <f t="shared" si="4"/>
        <v>0</v>
      </c>
      <c r="W23" s="18">
        <f t="shared" si="4"/>
        <v>0</v>
      </c>
      <c r="X23" s="18">
        <f t="shared" si="5"/>
        <v>0</v>
      </c>
      <c r="Y23" s="18">
        <f t="shared" si="5"/>
        <v>0</v>
      </c>
      <c r="Z23" s="18">
        <f t="shared" si="5"/>
        <v>0</v>
      </c>
      <c r="AA23" s="18">
        <f t="shared" si="5"/>
        <v>0</v>
      </c>
    </row>
    <row r="24" spans="1:27" ht="12.75">
      <c r="A24">
        <f t="shared" si="6"/>
        <v>17</v>
      </c>
      <c r="B24" s="18" t="s">
        <v>51</v>
      </c>
      <c r="C24" s="78" t="s">
        <v>53</v>
      </c>
      <c r="D24" s="208">
        <v>400</v>
      </c>
      <c r="E24" s="25">
        <f>D24/$D$39</f>
        <v>0.10416666666666667</v>
      </c>
      <c r="F24" s="25">
        <f>G23</f>
        <v>0.6421874999999999</v>
      </c>
      <c r="G24" s="25">
        <f t="shared" si="2"/>
        <v>0.7463541666666665</v>
      </c>
      <c r="H24" s="27">
        <f t="shared" si="4"/>
        <v>0</v>
      </c>
      <c r="I24" s="18">
        <f t="shared" si="4"/>
        <v>0</v>
      </c>
      <c r="J24" s="18">
        <f t="shared" si="4"/>
        <v>0</v>
      </c>
      <c r="K24" s="18">
        <f t="shared" si="4"/>
        <v>0</v>
      </c>
      <c r="L24" s="18">
        <f t="shared" si="4"/>
        <v>0</v>
      </c>
      <c r="M24" s="18">
        <f t="shared" si="4"/>
        <v>0</v>
      </c>
      <c r="N24" s="18">
        <f t="shared" si="4"/>
        <v>0</v>
      </c>
      <c r="O24" s="18">
        <f t="shared" si="4"/>
        <v>0</v>
      </c>
      <c r="P24" s="18">
        <f t="shared" si="4"/>
        <v>0</v>
      </c>
      <c r="Q24" s="43">
        <f t="shared" si="4"/>
        <v>0</v>
      </c>
      <c r="R24" s="27">
        <f t="shared" si="4"/>
        <v>0</v>
      </c>
      <c r="S24" s="18">
        <f t="shared" si="4"/>
        <v>0</v>
      </c>
      <c r="T24" s="18">
        <f t="shared" si="4"/>
        <v>0</v>
      </c>
      <c r="U24" s="18">
        <f t="shared" si="4"/>
        <v>0</v>
      </c>
      <c r="V24" s="18">
        <f t="shared" si="4"/>
        <v>0</v>
      </c>
      <c r="W24" s="18">
        <f aca="true" t="shared" si="8" ref="W24:W37">IF(AND(W$7&gt;$F24,W$7&lt;=$G24),$A24,0)</f>
        <v>0</v>
      </c>
      <c r="X24" s="18">
        <f t="shared" si="5"/>
        <v>0</v>
      </c>
      <c r="Y24" s="18">
        <f t="shared" si="5"/>
        <v>0</v>
      </c>
      <c r="Z24" s="18">
        <f t="shared" si="5"/>
        <v>0</v>
      </c>
      <c r="AA24" s="18">
        <f t="shared" si="5"/>
        <v>0</v>
      </c>
    </row>
    <row r="25" spans="1:27" ht="12.75">
      <c r="A25">
        <f t="shared" si="6"/>
        <v>18</v>
      </c>
      <c r="B25" s="18" t="s">
        <v>54</v>
      </c>
      <c r="C25" s="78" t="s">
        <v>55</v>
      </c>
      <c r="D25" s="208">
        <v>55</v>
      </c>
      <c r="E25" s="25">
        <f t="shared" si="1"/>
        <v>0.014322916666666666</v>
      </c>
      <c r="F25" s="25">
        <f>G24</f>
        <v>0.7463541666666665</v>
      </c>
      <c r="G25" s="25">
        <f t="shared" si="2"/>
        <v>0.7606770833333332</v>
      </c>
      <c r="H25" s="27">
        <f aca="true" t="shared" si="9" ref="H25:V37">IF(AND(H$7&gt;$F25,H$7&lt;=$G25),$A25,0)</f>
        <v>0</v>
      </c>
      <c r="I25" s="18">
        <f t="shared" si="9"/>
        <v>0</v>
      </c>
      <c r="J25" s="18">
        <f t="shared" si="9"/>
        <v>0</v>
      </c>
      <c r="K25" s="18">
        <f t="shared" si="9"/>
        <v>0</v>
      </c>
      <c r="L25" s="18">
        <f t="shared" si="9"/>
        <v>0</v>
      </c>
      <c r="M25" s="18">
        <f t="shared" si="9"/>
        <v>0</v>
      </c>
      <c r="N25" s="18">
        <f t="shared" si="9"/>
        <v>0</v>
      </c>
      <c r="O25" s="18">
        <f t="shared" si="9"/>
        <v>0</v>
      </c>
      <c r="P25" s="18">
        <f t="shared" si="9"/>
        <v>0</v>
      </c>
      <c r="Q25" s="43">
        <f t="shared" si="9"/>
        <v>0</v>
      </c>
      <c r="R25" s="27">
        <f t="shared" si="9"/>
        <v>0</v>
      </c>
      <c r="S25" s="18">
        <f t="shared" si="9"/>
        <v>0</v>
      </c>
      <c r="T25" s="18">
        <f t="shared" si="9"/>
        <v>0</v>
      </c>
      <c r="U25" s="18">
        <f t="shared" si="9"/>
        <v>0</v>
      </c>
      <c r="V25" s="18">
        <f t="shared" si="9"/>
        <v>0</v>
      </c>
      <c r="W25" s="18">
        <f t="shared" si="8"/>
        <v>0</v>
      </c>
      <c r="X25" s="18">
        <f t="shared" si="5"/>
        <v>0</v>
      </c>
      <c r="Y25" s="18">
        <f t="shared" si="5"/>
        <v>0</v>
      </c>
      <c r="Z25" s="18">
        <f t="shared" si="5"/>
        <v>0</v>
      </c>
      <c r="AA25" s="18">
        <f t="shared" si="5"/>
        <v>0</v>
      </c>
    </row>
    <row r="26" spans="1:27" ht="12.75">
      <c r="A26">
        <f t="shared" si="6"/>
        <v>19</v>
      </c>
      <c r="B26" s="18" t="s">
        <v>54</v>
      </c>
      <c r="C26" s="78" t="s">
        <v>56</v>
      </c>
      <c r="D26" s="208">
        <v>10</v>
      </c>
      <c r="E26" s="25">
        <f t="shared" si="1"/>
        <v>0.0026041666666666665</v>
      </c>
      <c r="F26" s="25">
        <f t="shared" si="7"/>
        <v>0.7606770833333332</v>
      </c>
      <c r="G26" s="25">
        <f t="shared" si="2"/>
        <v>0.7632812499999998</v>
      </c>
      <c r="H26" s="27">
        <f t="shared" si="9"/>
        <v>0</v>
      </c>
      <c r="I26" s="18">
        <f t="shared" si="9"/>
        <v>0</v>
      </c>
      <c r="J26" s="18">
        <f t="shared" si="9"/>
        <v>0</v>
      </c>
      <c r="K26" s="18">
        <f t="shared" si="9"/>
        <v>0</v>
      </c>
      <c r="L26" s="18">
        <f t="shared" si="9"/>
        <v>0</v>
      </c>
      <c r="M26" s="18">
        <f t="shared" si="9"/>
        <v>0</v>
      </c>
      <c r="N26" s="18">
        <f t="shared" si="9"/>
        <v>0</v>
      </c>
      <c r="O26" s="18">
        <f t="shared" si="9"/>
        <v>0</v>
      </c>
      <c r="P26" s="18">
        <f t="shared" si="9"/>
        <v>0</v>
      </c>
      <c r="Q26" s="43">
        <f t="shared" si="9"/>
        <v>0</v>
      </c>
      <c r="R26" s="27">
        <f t="shared" si="9"/>
        <v>0</v>
      </c>
      <c r="S26" s="18">
        <f t="shared" si="9"/>
        <v>0</v>
      </c>
      <c r="T26" s="18">
        <f t="shared" si="9"/>
        <v>0</v>
      </c>
      <c r="U26" s="18">
        <f t="shared" si="9"/>
        <v>0</v>
      </c>
      <c r="V26" s="18">
        <f t="shared" si="9"/>
        <v>0</v>
      </c>
      <c r="W26" s="18">
        <f t="shared" si="8"/>
        <v>0</v>
      </c>
      <c r="X26" s="18">
        <f t="shared" si="5"/>
        <v>0</v>
      </c>
      <c r="Y26" s="18">
        <f t="shared" si="5"/>
        <v>0</v>
      </c>
      <c r="Z26" s="18">
        <f t="shared" si="5"/>
        <v>0</v>
      </c>
      <c r="AA26" s="18">
        <f t="shared" si="5"/>
        <v>0</v>
      </c>
    </row>
    <row r="27" spans="1:27" ht="12.75">
      <c r="A27">
        <f t="shared" si="6"/>
        <v>20</v>
      </c>
      <c r="B27" s="18" t="s">
        <v>54</v>
      </c>
      <c r="C27" s="78" t="s">
        <v>57</v>
      </c>
      <c r="D27" s="208">
        <v>45</v>
      </c>
      <c r="E27" s="25">
        <f t="shared" si="1"/>
        <v>0.01171875</v>
      </c>
      <c r="F27" s="25">
        <f t="shared" si="7"/>
        <v>0.7632812499999998</v>
      </c>
      <c r="G27" s="25">
        <f t="shared" si="2"/>
        <v>0.7749999999999998</v>
      </c>
      <c r="H27" s="27">
        <f t="shared" si="9"/>
        <v>0</v>
      </c>
      <c r="I27" s="18">
        <f t="shared" si="9"/>
        <v>0</v>
      </c>
      <c r="J27" s="18">
        <f t="shared" si="9"/>
        <v>0</v>
      </c>
      <c r="K27" s="18">
        <f t="shared" si="9"/>
        <v>0</v>
      </c>
      <c r="L27" s="18">
        <f t="shared" si="9"/>
        <v>0</v>
      </c>
      <c r="M27" s="18">
        <f t="shared" si="9"/>
        <v>0</v>
      </c>
      <c r="N27" s="18">
        <f t="shared" si="9"/>
        <v>0</v>
      </c>
      <c r="O27" s="18">
        <f t="shared" si="9"/>
        <v>0</v>
      </c>
      <c r="P27" s="18">
        <f t="shared" si="9"/>
        <v>0</v>
      </c>
      <c r="Q27" s="43">
        <f t="shared" si="9"/>
        <v>0</v>
      </c>
      <c r="R27" s="27">
        <f t="shared" si="9"/>
        <v>0</v>
      </c>
      <c r="S27" s="18">
        <f t="shared" si="9"/>
        <v>0</v>
      </c>
      <c r="T27" s="18">
        <f t="shared" si="9"/>
        <v>0</v>
      </c>
      <c r="U27" s="18">
        <f t="shared" si="9"/>
        <v>0</v>
      </c>
      <c r="V27" s="18">
        <f t="shared" si="9"/>
        <v>0</v>
      </c>
      <c r="W27" s="18">
        <f t="shared" si="8"/>
        <v>0</v>
      </c>
      <c r="X27" s="18">
        <f t="shared" si="5"/>
        <v>0</v>
      </c>
      <c r="Y27" s="18">
        <f t="shared" si="5"/>
        <v>0</v>
      </c>
      <c r="Z27" s="18">
        <f t="shared" si="5"/>
        <v>0</v>
      </c>
      <c r="AA27" s="18">
        <f t="shared" si="5"/>
        <v>0</v>
      </c>
    </row>
    <row r="28" spans="1:27" ht="12.75">
      <c r="A28">
        <f t="shared" si="6"/>
        <v>21</v>
      </c>
      <c r="B28" s="18" t="s">
        <v>54</v>
      </c>
      <c r="C28" s="78" t="s">
        <v>58</v>
      </c>
      <c r="D28" s="208">
        <v>45</v>
      </c>
      <c r="E28" s="25">
        <f t="shared" si="1"/>
        <v>0.01171875</v>
      </c>
      <c r="F28" s="25">
        <f t="shared" si="7"/>
        <v>0.7749999999999998</v>
      </c>
      <c r="G28" s="25">
        <f t="shared" si="2"/>
        <v>0.7867187499999998</v>
      </c>
      <c r="H28" s="27">
        <f t="shared" si="9"/>
        <v>0</v>
      </c>
      <c r="I28" s="18">
        <f t="shared" si="9"/>
        <v>0</v>
      </c>
      <c r="J28" s="18">
        <f t="shared" si="9"/>
        <v>0</v>
      </c>
      <c r="K28" s="18">
        <f t="shared" si="9"/>
        <v>0</v>
      </c>
      <c r="L28" s="18">
        <f t="shared" si="9"/>
        <v>0</v>
      </c>
      <c r="M28" s="18">
        <f t="shared" si="9"/>
        <v>0</v>
      </c>
      <c r="N28" s="18">
        <f t="shared" si="9"/>
        <v>0</v>
      </c>
      <c r="O28" s="18">
        <f t="shared" si="9"/>
        <v>0</v>
      </c>
      <c r="P28" s="18">
        <f t="shared" si="9"/>
        <v>0</v>
      </c>
      <c r="Q28" s="43">
        <f t="shared" si="9"/>
        <v>0</v>
      </c>
      <c r="R28" s="27">
        <f t="shared" si="9"/>
        <v>0</v>
      </c>
      <c r="S28" s="18">
        <f t="shared" si="9"/>
        <v>0</v>
      </c>
      <c r="T28" s="18">
        <f t="shared" si="9"/>
        <v>0</v>
      </c>
      <c r="U28" s="18">
        <f t="shared" si="9"/>
        <v>0</v>
      </c>
      <c r="V28" s="18">
        <f t="shared" si="9"/>
        <v>0</v>
      </c>
      <c r="W28" s="18">
        <f t="shared" si="8"/>
        <v>0</v>
      </c>
      <c r="X28" s="18">
        <f t="shared" si="5"/>
        <v>0</v>
      </c>
      <c r="Y28" s="18">
        <f t="shared" si="5"/>
        <v>0</v>
      </c>
      <c r="Z28" s="18">
        <f t="shared" si="5"/>
        <v>0</v>
      </c>
      <c r="AA28" s="18">
        <f t="shared" si="5"/>
        <v>0</v>
      </c>
    </row>
    <row r="29" spans="1:27" ht="12.75">
      <c r="A29">
        <f t="shared" si="6"/>
        <v>22</v>
      </c>
      <c r="B29" s="18" t="s">
        <v>54</v>
      </c>
      <c r="C29" s="78" t="s">
        <v>59</v>
      </c>
      <c r="D29" s="208">
        <v>45</v>
      </c>
      <c r="E29" s="25">
        <f t="shared" si="1"/>
        <v>0.01171875</v>
      </c>
      <c r="F29" s="25">
        <f t="shared" si="7"/>
        <v>0.7867187499999998</v>
      </c>
      <c r="G29" s="25">
        <f t="shared" si="2"/>
        <v>0.7984374999999998</v>
      </c>
      <c r="H29" s="27">
        <f t="shared" si="9"/>
        <v>0</v>
      </c>
      <c r="I29" s="18">
        <f t="shared" si="9"/>
        <v>0</v>
      </c>
      <c r="J29" s="18">
        <f t="shared" si="9"/>
        <v>0</v>
      </c>
      <c r="K29" s="18">
        <f t="shared" si="9"/>
        <v>0</v>
      </c>
      <c r="L29" s="18">
        <f t="shared" si="9"/>
        <v>0</v>
      </c>
      <c r="M29" s="18">
        <f t="shared" si="9"/>
        <v>0</v>
      </c>
      <c r="N29" s="18">
        <f t="shared" si="9"/>
        <v>0</v>
      </c>
      <c r="O29" s="18">
        <f t="shared" si="9"/>
        <v>0</v>
      </c>
      <c r="P29" s="18">
        <f t="shared" si="9"/>
        <v>0</v>
      </c>
      <c r="Q29" s="43">
        <f t="shared" si="9"/>
        <v>0</v>
      </c>
      <c r="R29" s="27">
        <f t="shared" si="9"/>
        <v>0</v>
      </c>
      <c r="S29" s="18">
        <f t="shared" si="9"/>
        <v>0</v>
      </c>
      <c r="T29" s="18">
        <f t="shared" si="9"/>
        <v>0</v>
      </c>
      <c r="U29" s="18">
        <f t="shared" si="9"/>
        <v>0</v>
      </c>
      <c r="V29" s="18">
        <f t="shared" si="9"/>
        <v>0</v>
      </c>
      <c r="W29" s="18">
        <f t="shared" si="8"/>
        <v>0</v>
      </c>
      <c r="X29" s="18">
        <f t="shared" si="5"/>
        <v>0</v>
      </c>
      <c r="Y29" s="18">
        <f t="shared" si="5"/>
        <v>0</v>
      </c>
      <c r="Z29" s="18">
        <f t="shared" si="5"/>
        <v>22</v>
      </c>
      <c r="AA29" s="18">
        <f t="shared" si="5"/>
        <v>0</v>
      </c>
    </row>
    <row r="30" spans="1:27" ht="12.75">
      <c r="A30">
        <f t="shared" si="6"/>
        <v>23</v>
      </c>
      <c r="B30" s="44" t="s">
        <v>54</v>
      </c>
      <c r="C30" s="78" t="s">
        <v>263</v>
      </c>
      <c r="D30" s="208">
        <v>80</v>
      </c>
      <c r="E30" s="25">
        <f t="shared" si="1"/>
        <v>0.020833333333333332</v>
      </c>
      <c r="F30" s="25">
        <f>G29</f>
        <v>0.7984374999999998</v>
      </c>
      <c r="G30" s="25">
        <f t="shared" si="2"/>
        <v>0.8192708333333332</v>
      </c>
      <c r="H30" s="27">
        <f t="shared" si="9"/>
        <v>0</v>
      </c>
      <c r="I30" s="18">
        <f t="shared" si="9"/>
        <v>0</v>
      </c>
      <c r="J30" s="18">
        <f t="shared" si="9"/>
        <v>0</v>
      </c>
      <c r="K30" s="18">
        <f t="shared" si="9"/>
        <v>0</v>
      </c>
      <c r="L30" s="18">
        <f t="shared" si="9"/>
        <v>0</v>
      </c>
      <c r="M30" s="18">
        <f t="shared" si="9"/>
        <v>0</v>
      </c>
      <c r="N30" s="18">
        <f t="shared" si="9"/>
        <v>0</v>
      </c>
      <c r="O30" s="18">
        <f t="shared" si="9"/>
        <v>0</v>
      </c>
      <c r="P30" s="18">
        <f t="shared" si="9"/>
        <v>0</v>
      </c>
      <c r="Q30" s="43">
        <f t="shared" si="9"/>
        <v>0</v>
      </c>
      <c r="R30" s="27">
        <f t="shared" si="9"/>
        <v>0</v>
      </c>
      <c r="S30" s="18">
        <f t="shared" si="9"/>
        <v>0</v>
      </c>
      <c r="T30" s="18">
        <f t="shared" si="9"/>
        <v>0</v>
      </c>
      <c r="U30" s="18">
        <f t="shared" si="9"/>
        <v>0</v>
      </c>
      <c r="V30" s="18">
        <f t="shared" si="9"/>
        <v>0</v>
      </c>
      <c r="W30" s="18">
        <f t="shared" si="8"/>
        <v>0</v>
      </c>
      <c r="X30" s="18">
        <f t="shared" si="5"/>
        <v>0</v>
      </c>
      <c r="Y30" s="18">
        <f t="shared" si="5"/>
        <v>0</v>
      </c>
      <c r="Z30" s="18">
        <f t="shared" si="5"/>
        <v>0</v>
      </c>
      <c r="AA30" s="18">
        <f t="shared" si="5"/>
        <v>23</v>
      </c>
    </row>
    <row r="31" spans="1:27" ht="12.75">
      <c r="A31">
        <f t="shared" si="6"/>
        <v>24</v>
      </c>
      <c r="B31" s="18" t="s">
        <v>54</v>
      </c>
      <c r="C31" s="78" t="s">
        <v>60</v>
      </c>
      <c r="D31" s="208">
        <v>40</v>
      </c>
      <c r="E31" s="25">
        <f t="shared" si="1"/>
        <v>0.010416666666666666</v>
      </c>
      <c r="F31" s="25">
        <f>G30</f>
        <v>0.8192708333333332</v>
      </c>
      <c r="G31" s="25">
        <f aca="true" t="shared" si="10" ref="G31:G37">F31+E31</f>
        <v>0.8296874999999998</v>
      </c>
      <c r="H31" s="27">
        <f t="shared" si="9"/>
        <v>0</v>
      </c>
      <c r="I31" s="18">
        <f t="shared" si="9"/>
        <v>0</v>
      </c>
      <c r="J31" s="18">
        <f t="shared" si="9"/>
        <v>0</v>
      </c>
      <c r="K31" s="18">
        <f t="shared" si="9"/>
        <v>0</v>
      </c>
      <c r="L31" s="18">
        <f t="shared" si="9"/>
        <v>0</v>
      </c>
      <c r="M31" s="18">
        <f t="shared" si="9"/>
        <v>0</v>
      </c>
      <c r="N31" s="18">
        <f t="shared" si="9"/>
        <v>0</v>
      </c>
      <c r="O31" s="18">
        <f t="shared" si="9"/>
        <v>0</v>
      </c>
      <c r="P31" s="18">
        <f t="shared" si="9"/>
        <v>0</v>
      </c>
      <c r="Q31" s="43">
        <f t="shared" si="9"/>
        <v>0</v>
      </c>
      <c r="R31" s="27">
        <f t="shared" si="9"/>
        <v>0</v>
      </c>
      <c r="S31" s="18">
        <f t="shared" si="9"/>
        <v>0</v>
      </c>
      <c r="T31" s="18">
        <f t="shared" si="9"/>
        <v>0</v>
      </c>
      <c r="U31" s="18">
        <f t="shared" si="9"/>
        <v>0</v>
      </c>
      <c r="V31" s="18">
        <f t="shared" si="9"/>
        <v>0</v>
      </c>
      <c r="W31" s="18">
        <f t="shared" si="8"/>
        <v>0</v>
      </c>
      <c r="X31" s="18">
        <f t="shared" si="5"/>
        <v>0</v>
      </c>
      <c r="Y31" s="18">
        <f t="shared" si="5"/>
        <v>0</v>
      </c>
      <c r="Z31" s="18">
        <f t="shared" si="5"/>
        <v>0</v>
      </c>
      <c r="AA31" s="18">
        <f t="shared" si="5"/>
        <v>0</v>
      </c>
    </row>
    <row r="32" spans="1:27" ht="12.75">
      <c r="A32">
        <f t="shared" si="6"/>
        <v>25</v>
      </c>
      <c r="B32" s="18" t="s">
        <v>54</v>
      </c>
      <c r="C32" s="78" t="s">
        <v>61</v>
      </c>
      <c r="D32" s="208">
        <v>40</v>
      </c>
      <c r="E32" s="25">
        <f t="shared" si="1"/>
        <v>0.010416666666666666</v>
      </c>
      <c r="F32" s="25">
        <f aca="true" t="shared" si="11" ref="F32:F37">G31</f>
        <v>0.8296874999999998</v>
      </c>
      <c r="G32" s="25">
        <f t="shared" si="10"/>
        <v>0.8401041666666664</v>
      </c>
      <c r="H32" s="27">
        <f t="shared" si="9"/>
        <v>0</v>
      </c>
      <c r="I32" s="18">
        <f t="shared" si="9"/>
        <v>0</v>
      </c>
      <c r="J32" s="18">
        <f t="shared" si="9"/>
        <v>0</v>
      </c>
      <c r="K32" s="18">
        <f t="shared" si="9"/>
        <v>0</v>
      </c>
      <c r="L32" s="18">
        <f t="shared" si="9"/>
        <v>0</v>
      </c>
      <c r="M32" s="18">
        <f t="shared" si="9"/>
        <v>0</v>
      </c>
      <c r="N32" s="18">
        <f t="shared" si="9"/>
        <v>0</v>
      </c>
      <c r="O32" s="18">
        <f t="shared" si="9"/>
        <v>0</v>
      </c>
      <c r="P32" s="18">
        <f t="shared" si="9"/>
        <v>0</v>
      </c>
      <c r="Q32" s="43">
        <f t="shared" si="9"/>
        <v>0</v>
      </c>
      <c r="R32" s="27">
        <f t="shared" si="9"/>
        <v>0</v>
      </c>
      <c r="S32" s="18">
        <f t="shared" si="9"/>
        <v>0</v>
      </c>
      <c r="T32" s="18">
        <f t="shared" si="9"/>
        <v>0</v>
      </c>
      <c r="U32" s="18">
        <f t="shared" si="9"/>
        <v>0</v>
      </c>
      <c r="V32" s="18">
        <f t="shared" si="9"/>
        <v>0</v>
      </c>
      <c r="W32" s="18">
        <f t="shared" si="8"/>
        <v>0</v>
      </c>
      <c r="X32" s="18">
        <f t="shared" si="5"/>
        <v>0</v>
      </c>
      <c r="Y32" s="18">
        <f t="shared" si="5"/>
        <v>0</v>
      </c>
      <c r="Z32" s="18">
        <f t="shared" si="5"/>
        <v>0</v>
      </c>
      <c r="AA32" s="18">
        <f t="shared" si="5"/>
        <v>0</v>
      </c>
    </row>
    <row r="33" spans="1:27" ht="12.75">
      <c r="A33">
        <f t="shared" si="6"/>
        <v>26</v>
      </c>
      <c r="B33" s="18" t="s">
        <v>54</v>
      </c>
      <c r="C33" s="78" t="s">
        <v>62</v>
      </c>
      <c r="D33" s="208">
        <v>40</v>
      </c>
      <c r="E33" s="25">
        <f t="shared" si="1"/>
        <v>0.010416666666666666</v>
      </c>
      <c r="F33" s="25">
        <f t="shared" si="11"/>
        <v>0.8401041666666664</v>
      </c>
      <c r="G33" s="25">
        <f t="shared" si="10"/>
        <v>0.8505208333333331</v>
      </c>
      <c r="H33" s="27">
        <f t="shared" si="9"/>
        <v>0</v>
      </c>
      <c r="I33" s="18">
        <f t="shared" si="9"/>
        <v>0</v>
      </c>
      <c r="J33" s="18">
        <f t="shared" si="9"/>
        <v>0</v>
      </c>
      <c r="K33" s="18">
        <f t="shared" si="9"/>
        <v>0</v>
      </c>
      <c r="L33" s="18">
        <f t="shared" si="9"/>
        <v>0</v>
      </c>
      <c r="M33" s="18">
        <f t="shared" si="9"/>
        <v>0</v>
      </c>
      <c r="N33" s="18">
        <f t="shared" si="9"/>
        <v>0</v>
      </c>
      <c r="O33" s="18">
        <f t="shared" si="9"/>
        <v>0</v>
      </c>
      <c r="P33" s="18">
        <f t="shared" si="9"/>
        <v>26</v>
      </c>
      <c r="Q33" s="43">
        <f t="shared" si="9"/>
        <v>0</v>
      </c>
      <c r="R33" s="27">
        <f t="shared" si="9"/>
        <v>0</v>
      </c>
      <c r="S33" s="18">
        <f t="shared" si="9"/>
        <v>0</v>
      </c>
      <c r="T33" s="18">
        <f t="shared" si="9"/>
        <v>0</v>
      </c>
      <c r="U33" s="18">
        <f t="shared" si="9"/>
        <v>0</v>
      </c>
      <c r="V33" s="18">
        <f t="shared" si="9"/>
        <v>0</v>
      </c>
      <c r="W33" s="18">
        <f t="shared" si="8"/>
        <v>0</v>
      </c>
      <c r="X33" s="18">
        <f t="shared" si="5"/>
        <v>0</v>
      </c>
      <c r="Y33" s="18">
        <f t="shared" si="5"/>
        <v>0</v>
      </c>
      <c r="Z33" s="18">
        <f t="shared" si="5"/>
        <v>0</v>
      </c>
      <c r="AA33" s="18">
        <f t="shared" si="5"/>
        <v>0</v>
      </c>
    </row>
    <row r="34" spans="1:27" ht="13.5" thickBot="1">
      <c r="A34">
        <f t="shared" si="6"/>
        <v>27</v>
      </c>
      <c r="B34" s="18" t="s">
        <v>54</v>
      </c>
      <c r="C34" s="78" t="s">
        <v>63</v>
      </c>
      <c r="D34" s="208">
        <v>40</v>
      </c>
      <c r="E34" s="25">
        <f t="shared" si="1"/>
        <v>0.010416666666666666</v>
      </c>
      <c r="F34" s="25">
        <f t="shared" si="11"/>
        <v>0.8505208333333331</v>
      </c>
      <c r="G34" s="25">
        <f t="shared" si="10"/>
        <v>0.8609374999999997</v>
      </c>
      <c r="H34" s="27">
        <f t="shared" si="9"/>
        <v>0</v>
      </c>
      <c r="I34" s="18">
        <f t="shared" si="9"/>
        <v>0</v>
      </c>
      <c r="J34" s="18">
        <f t="shared" si="9"/>
        <v>0</v>
      </c>
      <c r="K34" s="18">
        <f t="shared" si="9"/>
        <v>27</v>
      </c>
      <c r="L34" s="18">
        <f t="shared" si="9"/>
        <v>0</v>
      </c>
      <c r="M34" s="18">
        <f t="shared" si="9"/>
        <v>0</v>
      </c>
      <c r="N34" s="18">
        <f t="shared" si="9"/>
        <v>0</v>
      </c>
      <c r="O34" s="18">
        <f t="shared" si="9"/>
        <v>0</v>
      </c>
      <c r="P34" s="18">
        <f t="shared" si="9"/>
        <v>0</v>
      </c>
      <c r="Q34" s="43">
        <f t="shared" si="9"/>
        <v>0</v>
      </c>
      <c r="R34" s="27">
        <f t="shared" si="9"/>
        <v>0</v>
      </c>
      <c r="S34" s="18">
        <f t="shared" si="9"/>
        <v>0</v>
      </c>
      <c r="T34" s="18">
        <f t="shared" si="9"/>
        <v>0</v>
      </c>
      <c r="U34" s="18">
        <f t="shared" si="9"/>
        <v>0</v>
      </c>
      <c r="V34" s="18">
        <f t="shared" si="9"/>
        <v>0</v>
      </c>
      <c r="W34" s="18">
        <f t="shared" si="8"/>
        <v>0</v>
      </c>
      <c r="X34" s="18">
        <f t="shared" si="5"/>
        <v>0</v>
      </c>
      <c r="Y34" s="18">
        <f t="shared" si="5"/>
        <v>0</v>
      </c>
      <c r="Z34" s="18">
        <f t="shared" si="5"/>
        <v>0</v>
      </c>
      <c r="AA34" s="18">
        <f t="shared" si="5"/>
        <v>0</v>
      </c>
    </row>
    <row r="35" spans="1:27" ht="12.75">
      <c r="A35">
        <f t="shared" si="6"/>
        <v>28</v>
      </c>
      <c r="B35" s="28" t="s">
        <v>64</v>
      </c>
      <c r="C35" s="210" t="s">
        <v>65</v>
      </c>
      <c r="D35" s="209">
        <v>174</v>
      </c>
      <c r="E35" s="29">
        <f t="shared" si="1"/>
        <v>0.0453125</v>
      </c>
      <c r="F35" s="25">
        <f t="shared" si="11"/>
        <v>0.8609374999999997</v>
      </c>
      <c r="G35" s="25">
        <f t="shared" si="10"/>
        <v>0.9062499999999997</v>
      </c>
      <c r="H35" s="27">
        <f t="shared" si="9"/>
        <v>28</v>
      </c>
      <c r="I35" s="18">
        <f t="shared" si="9"/>
        <v>0</v>
      </c>
      <c r="J35" s="18">
        <f t="shared" si="9"/>
        <v>28</v>
      </c>
      <c r="K35" s="18">
        <f t="shared" si="9"/>
        <v>0</v>
      </c>
      <c r="L35" s="18">
        <f t="shared" si="9"/>
        <v>0</v>
      </c>
      <c r="M35" s="18">
        <f t="shared" si="9"/>
        <v>0</v>
      </c>
      <c r="N35" s="18">
        <f t="shared" si="9"/>
        <v>0</v>
      </c>
      <c r="O35" s="18">
        <f t="shared" si="9"/>
        <v>0</v>
      </c>
      <c r="P35" s="18">
        <f t="shared" si="9"/>
        <v>0</v>
      </c>
      <c r="Q35" s="43">
        <f t="shared" si="9"/>
        <v>0</v>
      </c>
      <c r="R35" s="27">
        <f t="shared" si="9"/>
        <v>0</v>
      </c>
      <c r="S35" s="18">
        <f t="shared" si="9"/>
        <v>0</v>
      </c>
      <c r="T35" s="18">
        <f t="shared" si="9"/>
        <v>0</v>
      </c>
      <c r="U35" s="18">
        <f t="shared" si="9"/>
        <v>0</v>
      </c>
      <c r="V35" s="18">
        <f t="shared" si="9"/>
        <v>0</v>
      </c>
      <c r="W35" s="18">
        <f t="shared" si="8"/>
        <v>0</v>
      </c>
      <c r="X35" s="18">
        <f t="shared" si="5"/>
        <v>0</v>
      </c>
      <c r="Y35" s="18">
        <f t="shared" si="5"/>
        <v>0</v>
      </c>
      <c r="Z35" s="18">
        <f t="shared" si="5"/>
        <v>0</v>
      </c>
      <c r="AA35" s="18">
        <f t="shared" si="5"/>
        <v>0</v>
      </c>
    </row>
    <row r="36" spans="1:27" ht="13.5" thickBot="1">
      <c r="A36">
        <f t="shared" si="6"/>
        <v>29</v>
      </c>
      <c r="B36" s="18" t="s">
        <v>64</v>
      </c>
      <c r="C36" s="78" t="s">
        <v>66</v>
      </c>
      <c r="D36" s="208">
        <v>40</v>
      </c>
      <c r="E36" s="25">
        <f>D36/$D$39</f>
        <v>0.010416666666666666</v>
      </c>
      <c r="F36" s="25">
        <f t="shared" si="11"/>
        <v>0.9062499999999997</v>
      </c>
      <c r="G36" s="25">
        <f t="shared" si="10"/>
        <v>0.9166666666666663</v>
      </c>
      <c r="H36" s="27">
        <f t="shared" si="9"/>
        <v>0</v>
      </c>
      <c r="I36" s="18">
        <f t="shared" si="9"/>
        <v>0</v>
      </c>
      <c r="J36" s="18">
        <f t="shared" si="9"/>
        <v>0</v>
      </c>
      <c r="K36" s="18">
        <f t="shared" si="9"/>
        <v>0</v>
      </c>
      <c r="L36" s="18">
        <f t="shared" si="9"/>
        <v>0</v>
      </c>
      <c r="M36" s="18">
        <f t="shared" si="9"/>
        <v>0</v>
      </c>
      <c r="N36" s="18">
        <f t="shared" si="9"/>
        <v>0</v>
      </c>
      <c r="O36" s="18">
        <f t="shared" si="9"/>
        <v>0</v>
      </c>
      <c r="P36" s="18">
        <f t="shared" si="9"/>
        <v>0</v>
      </c>
      <c r="Q36" s="43">
        <f t="shared" si="9"/>
        <v>0</v>
      </c>
      <c r="R36" s="27">
        <f t="shared" si="9"/>
        <v>0</v>
      </c>
      <c r="S36" s="18">
        <f t="shared" si="9"/>
        <v>0</v>
      </c>
      <c r="T36" s="18">
        <f t="shared" si="9"/>
        <v>0</v>
      </c>
      <c r="U36" s="18">
        <f t="shared" si="9"/>
        <v>0</v>
      </c>
      <c r="V36" s="18">
        <f t="shared" si="9"/>
        <v>0</v>
      </c>
      <c r="W36" s="18">
        <f t="shared" si="8"/>
        <v>0</v>
      </c>
      <c r="X36" s="18">
        <f t="shared" si="5"/>
        <v>0</v>
      </c>
      <c r="Y36" s="18">
        <f t="shared" si="5"/>
        <v>29</v>
      </c>
      <c r="Z36" s="18">
        <f t="shared" si="5"/>
        <v>0</v>
      </c>
      <c r="AA36" s="18">
        <f t="shared" si="5"/>
        <v>0</v>
      </c>
    </row>
    <row r="37" spans="1:27" ht="12.75">
      <c r="A37">
        <f t="shared" si="6"/>
        <v>30</v>
      </c>
      <c r="B37" s="28" t="s">
        <v>67</v>
      </c>
      <c r="C37" s="210" t="s">
        <v>68</v>
      </c>
      <c r="D37" s="209">
        <v>320</v>
      </c>
      <c r="E37" s="29">
        <f t="shared" si="1"/>
        <v>0.08333333333333333</v>
      </c>
      <c r="F37" s="25">
        <f t="shared" si="11"/>
        <v>0.9166666666666663</v>
      </c>
      <c r="G37" s="25">
        <f t="shared" si="10"/>
        <v>0.9999999999999997</v>
      </c>
      <c r="H37" s="27">
        <f t="shared" si="9"/>
        <v>0</v>
      </c>
      <c r="I37" s="18">
        <f t="shared" si="9"/>
        <v>0</v>
      </c>
      <c r="J37" s="18">
        <f t="shared" si="9"/>
        <v>0</v>
      </c>
      <c r="K37" s="18">
        <f t="shared" si="9"/>
        <v>0</v>
      </c>
      <c r="L37" s="18">
        <f t="shared" si="9"/>
        <v>0</v>
      </c>
      <c r="M37" s="18">
        <f t="shared" si="9"/>
        <v>0</v>
      </c>
      <c r="N37" s="18">
        <f t="shared" si="9"/>
        <v>0</v>
      </c>
      <c r="O37" s="18">
        <f t="shared" si="9"/>
        <v>0</v>
      </c>
      <c r="P37" s="18">
        <f t="shared" si="9"/>
        <v>0</v>
      </c>
      <c r="Q37" s="43">
        <f t="shared" si="9"/>
        <v>0</v>
      </c>
      <c r="R37" s="27">
        <f t="shared" si="9"/>
        <v>0</v>
      </c>
      <c r="S37" s="18">
        <f t="shared" si="9"/>
        <v>0</v>
      </c>
      <c r="T37" s="18">
        <f t="shared" si="9"/>
        <v>0</v>
      </c>
      <c r="U37" s="18">
        <f t="shared" si="9"/>
        <v>0</v>
      </c>
      <c r="V37" s="18">
        <f t="shared" si="9"/>
        <v>0</v>
      </c>
      <c r="W37" s="18">
        <f t="shared" si="8"/>
        <v>0</v>
      </c>
      <c r="X37" s="18">
        <f t="shared" si="5"/>
        <v>30</v>
      </c>
      <c r="Y37" s="18">
        <f t="shared" si="5"/>
        <v>0</v>
      </c>
      <c r="Z37" s="18">
        <f t="shared" si="5"/>
        <v>0</v>
      </c>
      <c r="AA37" s="18">
        <f t="shared" si="5"/>
        <v>0</v>
      </c>
    </row>
    <row r="38" spans="2:27" ht="12.75">
      <c r="B38" s="18"/>
      <c r="D38" s="18"/>
      <c r="H38" s="27"/>
      <c r="I38" s="18"/>
      <c r="J38" s="18"/>
      <c r="K38" s="18"/>
      <c r="L38" s="18"/>
      <c r="M38" s="18"/>
      <c r="N38" s="18"/>
      <c r="O38" s="18"/>
      <c r="P38" s="18"/>
      <c r="Q38" s="18"/>
      <c r="R38" s="27"/>
      <c r="S38" s="18"/>
      <c r="T38" s="18"/>
      <c r="U38" s="18"/>
      <c r="V38" s="18"/>
      <c r="W38" s="18"/>
      <c r="X38" s="18"/>
      <c r="Y38" s="18"/>
      <c r="Z38" s="18"/>
      <c r="AA38" s="18"/>
    </row>
    <row r="39" spans="2:27" ht="12.75">
      <c r="B39" s="18"/>
      <c r="C39" t="s">
        <v>69</v>
      </c>
      <c r="D39" s="30">
        <f>SUM(D8:D37)</f>
        <v>3840</v>
      </c>
      <c r="E39" s="25">
        <f>SUM(E8:E37)</f>
        <v>0.9999999999999997</v>
      </c>
      <c r="H39" s="27">
        <f>SUM(H8:H37)</f>
        <v>28</v>
      </c>
      <c r="I39" s="18">
        <f aca="true" t="shared" si="12" ref="I39:AA39">SUM(I8:I37)</f>
        <v>3</v>
      </c>
      <c r="J39" s="18">
        <f t="shared" si="12"/>
        <v>28</v>
      </c>
      <c r="K39" s="18">
        <f t="shared" si="12"/>
        <v>27</v>
      </c>
      <c r="L39" s="18">
        <f t="shared" si="12"/>
        <v>12</v>
      </c>
      <c r="M39" s="18">
        <f t="shared" si="12"/>
        <v>15</v>
      </c>
      <c r="N39" s="18">
        <f t="shared" si="12"/>
        <v>15</v>
      </c>
      <c r="O39" s="18">
        <f t="shared" si="12"/>
        <v>11</v>
      </c>
      <c r="P39" s="18">
        <f t="shared" si="12"/>
        <v>26</v>
      </c>
      <c r="Q39" s="18">
        <f t="shared" si="12"/>
        <v>4</v>
      </c>
      <c r="R39" s="27">
        <f t="shared" si="12"/>
        <v>8</v>
      </c>
      <c r="S39" s="18">
        <f t="shared" si="12"/>
        <v>12</v>
      </c>
      <c r="T39" s="18">
        <f t="shared" si="12"/>
        <v>8</v>
      </c>
      <c r="U39" s="18">
        <f t="shared" si="12"/>
        <v>15</v>
      </c>
      <c r="V39" s="18">
        <f t="shared" si="12"/>
        <v>8</v>
      </c>
      <c r="W39" s="18">
        <f t="shared" si="12"/>
        <v>12</v>
      </c>
      <c r="X39" s="18">
        <f t="shared" si="12"/>
        <v>30</v>
      </c>
      <c r="Y39" s="18">
        <f t="shared" si="12"/>
        <v>29</v>
      </c>
      <c r="Z39" s="18">
        <f t="shared" si="12"/>
        <v>22</v>
      </c>
      <c r="AA39" s="18">
        <f t="shared" si="12"/>
        <v>23</v>
      </c>
    </row>
    <row r="40" spans="2:27" ht="12.75">
      <c r="B40" s="18"/>
      <c r="D40" s="18"/>
      <c r="H40" s="27" t="str">
        <f>INDEX($C8:$C37,H$39)</f>
        <v>Mayaheine</v>
      </c>
      <c r="I40" s="18" t="str">
        <f aca="true" t="shared" si="13" ref="I40:AA40">INDEX($C8:$C37,I$39)</f>
        <v>Pelor</v>
      </c>
      <c r="J40" s="18" t="str">
        <f t="shared" si="13"/>
        <v>Mayaheine</v>
      </c>
      <c r="K40" s="18" t="str">
        <f t="shared" si="13"/>
        <v>Zodal</v>
      </c>
      <c r="L40" s="18" t="str">
        <f t="shared" si="13"/>
        <v>St-Cuthbert</v>
      </c>
      <c r="M40" s="18" t="str">
        <f t="shared" si="13"/>
        <v>Zilchus</v>
      </c>
      <c r="N40" s="18" t="str">
        <f t="shared" si="13"/>
        <v>Zilchus</v>
      </c>
      <c r="O40" s="18" t="str">
        <f t="shared" si="13"/>
        <v>Procan</v>
      </c>
      <c r="P40" s="18" t="str">
        <f t="shared" si="13"/>
        <v>Velnius</v>
      </c>
      <c r="Q40" s="18" t="str">
        <f t="shared" si="13"/>
        <v>Rao</v>
      </c>
      <c r="R40" s="27" t="str">
        <f t="shared" si="13"/>
        <v>Heironeous</v>
      </c>
      <c r="S40" s="18" t="str">
        <f t="shared" si="13"/>
        <v>St-Cuthbert</v>
      </c>
      <c r="T40" s="18" t="str">
        <f t="shared" si="13"/>
        <v>Heironeous</v>
      </c>
      <c r="U40" s="18" t="str">
        <f t="shared" si="13"/>
        <v>Zilchus</v>
      </c>
      <c r="V40" s="18" t="str">
        <f t="shared" si="13"/>
        <v>Heironeous</v>
      </c>
      <c r="W40" s="18" t="str">
        <f t="shared" si="13"/>
        <v>St-Cuthbert</v>
      </c>
      <c r="X40" s="18" t="str">
        <f t="shared" si="13"/>
        <v>Miscellaneous</v>
      </c>
      <c r="Y40" s="18" t="str">
        <f t="shared" si="13"/>
        <v>Rudd</v>
      </c>
      <c r="Z40" s="18" t="str">
        <f t="shared" si="13"/>
        <v>Myhriss</v>
      </c>
      <c r="AA40" s="18" t="str">
        <f t="shared" si="13"/>
        <v>Osprem</v>
      </c>
    </row>
    <row r="41" spans="2:4" ht="12.75">
      <c r="B41" s="18"/>
      <c r="D41" s="18"/>
    </row>
    <row r="42" spans="2:4" ht="12.75">
      <c r="B42" s="18"/>
      <c r="D42" s="18"/>
    </row>
    <row r="43" spans="2:4" ht="12.75">
      <c r="B43" s="18"/>
      <c r="D43" s="18"/>
    </row>
    <row r="44" spans="2:4" ht="12.75">
      <c r="B44" s="18"/>
      <c r="D44" s="18"/>
    </row>
    <row r="45" spans="2:4" ht="12.75">
      <c r="B45" s="18"/>
      <c r="D45" s="18"/>
    </row>
    <row r="46" spans="2:4" ht="12.75">
      <c r="B46" s="18"/>
      <c r="D46" s="18"/>
    </row>
    <row r="47" spans="2:4" ht="12.75">
      <c r="B47" s="18"/>
      <c r="D47" s="18"/>
    </row>
    <row r="48" spans="2:4" ht="12.75">
      <c r="B48" s="18"/>
      <c r="D48" s="18"/>
    </row>
    <row r="49" spans="2:4" ht="12.75">
      <c r="B49" s="18"/>
      <c r="D49" s="18"/>
    </row>
    <row r="50" spans="2:4" ht="12.75">
      <c r="B50" s="18"/>
      <c r="D50" s="18"/>
    </row>
    <row r="51" spans="2:4" ht="12.75">
      <c r="B51" s="18"/>
      <c r="D51" s="18"/>
    </row>
    <row r="52" spans="2:4" ht="12.75">
      <c r="B52" s="18"/>
      <c r="D52" s="18"/>
    </row>
    <row r="53" spans="2:4" ht="12.75">
      <c r="B53" s="18"/>
      <c r="D53" s="18"/>
    </row>
    <row r="54" spans="2:4" ht="12.75">
      <c r="B54" s="18"/>
      <c r="D54" s="18"/>
    </row>
    <row r="55" spans="2:4" ht="12.75">
      <c r="B55" s="18"/>
      <c r="D55" s="18"/>
    </row>
    <row r="56" spans="2:4" ht="12.75">
      <c r="B56" s="18"/>
      <c r="D56" s="18"/>
    </row>
    <row r="57" spans="2:4" ht="12.75">
      <c r="B57" s="18"/>
      <c r="D57" s="18"/>
    </row>
    <row r="58" spans="2:4" ht="12.75">
      <c r="B58" s="18"/>
      <c r="D58" s="18"/>
    </row>
    <row r="59" spans="2:4" ht="12.75">
      <c r="B59" s="18"/>
      <c r="D59" s="18"/>
    </row>
    <row r="60" spans="2:4" ht="12.75">
      <c r="B60" s="18"/>
      <c r="D60" s="18"/>
    </row>
    <row r="61" spans="2:4" ht="12.75">
      <c r="B61" s="18"/>
      <c r="D61" s="18"/>
    </row>
    <row r="62" spans="2:4" ht="12.75">
      <c r="B62" s="18"/>
      <c r="D62" s="18"/>
    </row>
    <row r="63" spans="2:4" ht="12.75">
      <c r="B63" s="18"/>
      <c r="D63" s="18"/>
    </row>
    <row r="64" spans="2:4" ht="12.75">
      <c r="B64" s="18"/>
      <c r="D64" s="18"/>
    </row>
    <row r="65" spans="2:4" ht="12.75">
      <c r="B65" s="18"/>
      <c r="D65" s="18"/>
    </row>
    <row r="66" spans="2:4" ht="12.75">
      <c r="B66" s="18"/>
      <c r="D66" s="18"/>
    </row>
    <row r="67" spans="2:4" ht="12.75">
      <c r="B67" s="18"/>
      <c r="D67" s="18"/>
    </row>
    <row r="68" spans="2:4" ht="12.75">
      <c r="B68" s="18"/>
      <c r="D68" s="18"/>
    </row>
    <row r="69" spans="2:4" ht="12.75">
      <c r="B69" s="18"/>
      <c r="D69" s="18"/>
    </row>
    <row r="70" spans="2:4" ht="12.75">
      <c r="B70" s="18"/>
      <c r="D70" s="18"/>
    </row>
    <row r="71" spans="2:4" ht="12.75">
      <c r="B71" s="18"/>
      <c r="D71" s="18"/>
    </row>
    <row r="72" spans="2:4" ht="12.75">
      <c r="B72" s="18"/>
      <c r="D72" s="18"/>
    </row>
    <row r="73" spans="2:4" ht="12.75">
      <c r="B73" s="18"/>
      <c r="D73" s="18"/>
    </row>
    <row r="74" spans="2:4" ht="12.75">
      <c r="B74" s="18"/>
      <c r="D74" s="18"/>
    </row>
    <row r="75" spans="2:4" ht="12.75">
      <c r="B75" s="18"/>
      <c r="D75" s="18"/>
    </row>
    <row r="76" spans="2:4" ht="12.75">
      <c r="B76" s="18"/>
      <c r="D76" s="18"/>
    </row>
    <row r="77" spans="2:4" ht="12.75">
      <c r="B77" s="18"/>
      <c r="D77" s="18"/>
    </row>
    <row r="78" spans="2:4" ht="12.75">
      <c r="B78" s="18"/>
      <c r="D78" s="18"/>
    </row>
    <row r="79" spans="2:4" ht="12.75">
      <c r="B79" s="18"/>
      <c r="D79" s="18"/>
    </row>
    <row r="80" spans="2:4" ht="12.75">
      <c r="B80" s="18"/>
      <c r="D80" s="18"/>
    </row>
    <row r="81" spans="2:4" ht="12.75">
      <c r="B81" s="18"/>
      <c r="D81" s="18"/>
    </row>
    <row r="82" spans="2:4" ht="12.75">
      <c r="B82" s="18"/>
      <c r="D82" s="18"/>
    </row>
    <row r="83" spans="2:4" ht="12.75">
      <c r="B83" s="18"/>
      <c r="D83" s="18"/>
    </row>
    <row r="84" spans="2:4" ht="12.75">
      <c r="B84" s="18"/>
      <c r="D84" s="18"/>
    </row>
    <row r="85" spans="2:4" ht="12.75">
      <c r="B85" s="18"/>
      <c r="D85" s="18"/>
    </row>
    <row r="86" spans="2:4" ht="12.75">
      <c r="B86" s="18"/>
      <c r="D86" s="18"/>
    </row>
    <row r="87" spans="2:4" ht="12.75">
      <c r="B87" s="18"/>
      <c r="D87" s="18"/>
    </row>
    <row r="88" spans="2:4" ht="12.75">
      <c r="B88" s="18"/>
      <c r="D88" s="18"/>
    </row>
    <row r="89" spans="2:4" ht="12.75">
      <c r="B89" s="18"/>
      <c r="D89" s="18"/>
    </row>
    <row r="90" spans="2:4" ht="12.75">
      <c r="B90" s="18"/>
      <c r="D90" s="18"/>
    </row>
    <row r="91" spans="2:4" ht="12.75">
      <c r="B91" s="18"/>
      <c r="D91" s="18"/>
    </row>
    <row r="92" spans="2:4" ht="12.75">
      <c r="B92" s="18"/>
      <c r="D92" s="18"/>
    </row>
    <row r="93" spans="2:4" ht="12.75">
      <c r="B93" s="18"/>
      <c r="D93" s="18"/>
    </row>
    <row r="94" spans="2:4" ht="12.75">
      <c r="B94" s="18"/>
      <c r="D94" s="18"/>
    </row>
    <row r="95" spans="2:4" ht="12.75">
      <c r="B95" s="18"/>
      <c r="D95" s="18"/>
    </row>
    <row r="96" spans="2:4" ht="12.75">
      <c r="B96" s="18"/>
      <c r="D96" s="18"/>
    </row>
    <row r="97" spans="2:4" ht="12.75">
      <c r="B97" s="18"/>
      <c r="D97" s="18"/>
    </row>
    <row r="98" spans="2:4" ht="12.75">
      <c r="B98" s="18"/>
      <c r="D98" s="18"/>
    </row>
    <row r="99" spans="2:4" ht="12.75">
      <c r="B99" s="18"/>
      <c r="D99" s="18"/>
    </row>
    <row r="100" spans="2:4" ht="12.75">
      <c r="B100" s="18"/>
      <c r="D100" s="18"/>
    </row>
    <row r="101" spans="2:4" ht="12.75">
      <c r="B101" s="18"/>
      <c r="D101" s="18"/>
    </row>
    <row r="102" spans="2:4" ht="12.75">
      <c r="B102" s="18"/>
      <c r="D102" s="18"/>
    </row>
    <row r="103" spans="2:4" ht="12.75">
      <c r="B103" s="18"/>
      <c r="D103" s="18"/>
    </row>
    <row r="104" spans="2:4" ht="12.75">
      <c r="B104" s="18"/>
      <c r="D104" s="18"/>
    </row>
    <row r="105" spans="2:4" ht="12.75">
      <c r="B105" s="18"/>
      <c r="D105" s="18"/>
    </row>
    <row r="106" spans="2:4" ht="12.75">
      <c r="B106" s="18"/>
      <c r="D106" s="18"/>
    </row>
    <row r="107" spans="2:4" ht="12.75">
      <c r="B107" s="18"/>
      <c r="D107" s="18"/>
    </row>
    <row r="108" spans="2:4" ht="12.75">
      <c r="B108" s="18"/>
      <c r="D108" s="18"/>
    </row>
    <row r="109" spans="2:4" ht="12.75">
      <c r="B109" s="18"/>
      <c r="D109" s="18"/>
    </row>
    <row r="110" spans="2:4" ht="12.75">
      <c r="B110" s="18"/>
      <c r="D110" s="18"/>
    </row>
    <row r="111" spans="2:4" ht="12.75">
      <c r="B111" s="18"/>
      <c r="D111" s="18"/>
    </row>
    <row r="112" spans="2:4" ht="12.75">
      <c r="B112" s="18"/>
      <c r="D112" s="18"/>
    </row>
    <row r="113" spans="2:4" ht="12.75">
      <c r="B113" s="18"/>
      <c r="D113" s="18"/>
    </row>
    <row r="114" spans="2:4" ht="12.75">
      <c r="B114" s="18"/>
      <c r="D114" s="18"/>
    </row>
    <row r="115" spans="2:4" ht="12.75">
      <c r="B115" s="18"/>
      <c r="D115" s="18"/>
    </row>
    <row r="116" spans="2:4" ht="12.75">
      <c r="B116" s="18"/>
      <c r="D116" s="18"/>
    </row>
    <row r="117" spans="2:4" ht="12.75">
      <c r="B117" s="18"/>
      <c r="D117" s="18"/>
    </row>
    <row r="118" spans="2:4" ht="12.75">
      <c r="B118" s="18"/>
      <c r="D118" s="18"/>
    </row>
    <row r="119" spans="2:4" ht="12.75">
      <c r="B119" s="18"/>
      <c r="D119" s="18"/>
    </row>
    <row r="120" spans="2:4" ht="12.75">
      <c r="B120" s="18"/>
      <c r="D120" s="18"/>
    </row>
    <row r="121" spans="2:4" ht="12.75">
      <c r="B121" s="18"/>
      <c r="D121" s="18"/>
    </row>
    <row r="122" spans="2:4" ht="12.75">
      <c r="B122" s="18"/>
      <c r="D122" s="18"/>
    </row>
    <row r="123" spans="2:4" ht="12.75">
      <c r="B123" s="18"/>
      <c r="D123" s="18"/>
    </row>
    <row r="124" spans="2:4" ht="12.75">
      <c r="B124" s="18"/>
      <c r="D124" s="18"/>
    </row>
    <row r="125" spans="2:4" ht="12.75">
      <c r="B125" s="18"/>
      <c r="D125" s="18"/>
    </row>
    <row r="126" spans="2:4" ht="12.75">
      <c r="B126" s="18"/>
      <c r="D126" s="18"/>
    </row>
    <row r="127" spans="2:4" ht="12.75">
      <c r="B127" s="18"/>
      <c r="D127" s="18"/>
    </row>
    <row r="128" spans="2:4" ht="12.75">
      <c r="B128" s="18"/>
      <c r="D128" s="18"/>
    </row>
    <row r="129" spans="2:4" ht="12.75">
      <c r="B129" s="18"/>
      <c r="D129" s="18"/>
    </row>
    <row r="130" spans="2:4" ht="12.75">
      <c r="B130" s="18"/>
      <c r="D130" s="18"/>
    </row>
    <row r="131" spans="2:4" ht="12.75">
      <c r="B131" s="18"/>
      <c r="D131" s="18"/>
    </row>
    <row r="132" spans="2:4" ht="12.75">
      <c r="B132" s="18"/>
      <c r="D132" s="18"/>
    </row>
    <row r="133" spans="2:4" ht="12.75">
      <c r="B133" s="18"/>
      <c r="D133" s="18"/>
    </row>
    <row r="134" spans="2:4" ht="12.75">
      <c r="B134" s="18"/>
      <c r="D134" s="18"/>
    </row>
    <row r="135" spans="2:4" ht="12.75">
      <c r="B135" s="18"/>
      <c r="D135" s="18"/>
    </row>
    <row r="136" spans="2:4" ht="12.75">
      <c r="B136" s="18"/>
      <c r="D136" s="18"/>
    </row>
    <row r="137" spans="2:4" ht="12.75">
      <c r="B137" s="18"/>
      <c r="D137" s="18"/>
    </row>
    <row r="138" spans="2:4" ht="12.75">
      <c r="B138" s="18"/>
      <c r="D138" s="18"/>
    </row>
    <row r="139" spans="2:4" ht="12.75">
      <c r="B139" s="18"/>
      <c r="D139" s="18"/>
    </row>
    <row r="140" spans="2:4" ht="12.75">
      <c r="B140" s="18"/>
      <c r="D140" s="18"/>
    </row>
    <row r="141" spans="2:4" ht="12.75">
      <c r="B141" s="18"/>
      <c r="D141" s="18"/>
    </row>
    <row r="142" spans="2:4" ht="12.75">
      <c r="B142" s="18"/>
      <c r="D142" s="18"/>
    </row>
    <row r="143" spans="2:4" ht="12.75">
      <c r="B143" s="18"/>
      <c r="D143" s="18"/>
    </row>
    <row r="144" spans="2:4" ht="12.75">
      <c r="B144" s="18"/>
      <c r="D144" s="18"/>
    </row>
    <row r="145" spans="2:4" ht="12.75">
      <c r="B145" s="18"/>
      <c r="D145" s="18"/>
    </row>
    <row r="146" spans="2:4" ht="12.75">
      <c r="B146" s="18"/>
      <c r="D146" s="18"/>
    </row>
    <row r="147" spans="2:4" ht="12.75">
      <c r="B147" s="18"/>
      <c r="D147" s="18"/>
    </row>
    <row r="148" spans="2:4" ht="12.75">
      <c r="B148" s="18"/>
      <c r="D148" s="18"/>
    </row>
    <row r="149" spans="2:4" ht="12.75">
      <c r="B149" s="18"/>
      <c r="D149" s="18"/>
    </row>
    <row r="150" spans="2:4" ht="12.75">
      <c r="B150" s="18"/>
      <c r="D150" s="18"/>
    </row>
    <row r="151" spans="2:4" ht="12.75">
      <c r="B151" s="18"/>
      <c r="D151" s="18"/>
    </row>
    <row r="152" spans="2:4" ht="12.75">
      <c r="B152" s="18"/>
      <c r="D152" s="18"/>
    </row>
    <row r="153" spans="2:4" ht="12.75">
      <c r="B153" s="18"/>
      <c r="D153" s="18"/>
    </row>
    <row r="154" spans="2:4" ht="12.75">
      <c r="B154" s="18"/>
      <c r="D154" s="18"/>
    </row>
    <row r="155" spans="2:4" ht="12.75">
      <c r="B155" s="18"/>
      <c r="D155" s="18"/>
    </row>
    <row r="156" spans="2:4" ht="12.75">
      <c r="B156" s="18"/>
      <c r="D156" s="18"/>
    </row>
    <row r="157" spans="2:4" ht="12.75">
      <c r="B157" s="18"/>
      <c r="D157" s="18"/>
    </row>
    <row r="158" spans="2:4" ht="12.75">
      <c r="B158" s="18"/>
      <c r="D158" s="18"/>
    </row>
    <row r="159" spans="2:4" ht="12.75">
      <c r="B159" s="18"/>
      <c r="D159" s="18"/>
    </row>
    <row r="160" spans="2:4" ht="12.75">
      <c r="B160" s="18"/>
      <c r="D160" s="18"/>
    </row>
    <row r="161" spans="2:4" ht="12.75">
      <c r="B161" s="18"/>
      <c r="D161" s="18"/>
    </row>
    <row r="162" spans="2:4" ht="12.75">
      <c r="B162" s="18"/>
      <c r="D162" s="18"/>
    </row>
    <row r="163" spans="2:4" ht="12.75">
      <c r="B163" s="18"/>
      <c r="D163" s="18"/>
    </row>
    <row r="164" spans="2:4" ht="12.75">
      <c r="B164" s="18"/>
      <c r="D164" s="18"/>
    </row>
    <row r="165" spans="2:4" ht="12.75">
      <c r="B165" s="18"/>
      <c r="D165" s="18"/>
    </row>
    <row r="166" spans="2:4" ht="12.75">
      <c r="B166" s="18"/>
      <c r="D166" s="18"/>
    </row>
    <row r="167" spans="2:4" ht="12.75">
      <c r="B167" s="18"/>
      <c r="D167" s="18"/>
    </row>
    <row r="168" spans="2:4" ht="12.75">
      <c r="B168" s="18"/>
      <c r="D168" s="18"/>
    </row>
    <row r="169" spans="2:4" ht="12.75">
      <c r="B169" s="18"/>
      <c r="D169" s="18"/>
    </row>
    <row r="170" spans="2:4" ht="12.75">
      <c r="B170" s="18"/>
      <c r="D170" s="18"/>
    </row>
    <row r="171" spans="2:4" ht="12.75">
      <c r="B171" s="18"/>
      <c r="D171" s="18"/>
    </row>
    <row r="172" spans="2:4" ht="12.75">
      <c r="B172" s="18"/>
      <c r="D172" s="18"/>
    </row>
    <row r="173" spans="2:4" ht="12.75">
      <c r="B173" s="18"/>
      <c r="D173" s="18"/>
    </row>
    <row r="174" spans="2:4" ht="12.75">
      <c r="B174" s="18"/>
      <c r="D174" s="18"/>
    </row>
    <row r="175" spans="2:4" ht="12.75">
      <c r="B175" s="18"/>
      <c r="D175" s="18"/>
    </row>
    <row r="176" spans="2:4" ht="12.75">
      <c r="B176" s="18"/>
      <c r="D176" s="18"/>
    </row>
    <row r="177" spans="2:4" ht="12.75">
      <c r="B177" s="18"/>
      <c r="D177" s="18"/>
    </row>
    <row r="178" spans="2:4" ht="12.75">
      <c r="B178" s="18"/>
      <c r="D178" s="18"/>
    </row>
    <row r="179" spans="2:4" ht="12.75">
      <c r="B179" s="18"/>
      <c r="D179" s="18"/>
    </row>
    <row r="180" spans="2:4" ht="12.75">
      <c r="B180" s="18"/>
      <c r="D180" s="18"/>
    </row>
    <row r="181" spans="2:4" ht="12.75">
      <c r="B181" s="18"/>
      <c r="D181" s="18"/>
    </row>
    <row r="182" spans="2:4" ht="12.75">
      <c r="B182" s="18"/>
      <c r="D182" s="18"/>
    </row>
    <row r="183" spans="2:4" ht="12.75">
      <c r="B183" s="18"/>
      <c r="D183" s="18"/>
    </row>
    <row r="184" spans="2:4" ht="12.75">
      <c r="B184" s="18"/>
      <c r="D184" s="18"/>
    </row>
    <row r="185" spans="2:4" ht="12.75">
      <c r="B185" s="18"/>
      <c r="D185" s="18"/>
    </row>
    <row r="186" spans="2:4" ht="12.75">
      <c r="B186" s="18"/>
      <c r="D186" s="18"/>
    </row>
    <row r="187" spans="2:4" ht="12.75">
      <c r="B187" s="18"/>
      <c r="D187" s="18"/>
    </row>
    <row r="188" spans="2:4" ht="12.75">
      <c r="B188" s="18"/>
      <c r="D188" s="18"/>
    </row>
    <row r="189" spans="2:4" ht="12.75">
      <c r="B189" s="18"/>
      <c r="D189" s="18"/>
    </row>
    <row r="190" spans="2:4" ht="12.75">
      <c r="B190" s="18"/>
      <c r="D190" s="18"/>
    </row>
    <row r="191" spans="2:4" ht="12.75">
      <c r="B191" s="18"/>
      <c r="D191" s="18"/>
    </row>
    <row r="192" spans="2:4" ht="12.75">
      <c r="B192" s="18"/>
      <c r="D192" s="18"/>
    </row>
    <row r="193" spans="2:4" ht="12.75">
      <c r="B193" s="18"/>
      <c r="D193" s="18"/>
    </row>
    <row r="194" spans="2:4" ht="12.75">
      <c r="B194" s="18"/>
      <c r="D194" s="18"/>
    </row>
    <row r="195" spans="2:4" ht="12.75">
      <c r="B195" s="18"/>
      <c r="D195" s="18"/>
    </row>
    <row r="196" spans="2:4" ht="12.75">
      <c r="B196" s="18"/>
      <c r="D196" s="18"/>
    </row>
    <row r="197" spans="2:4" ht="12.75">
      <c r="B197" s="18"/>
      <c r="D197" s="18"/>
    </row>
    <row r="198" spans="2:4" ht="12.75">
      <c r="B198" s="18"/>
      <c r="D198" s="18"/>
    </row>
    <row r="199" spans="2:4" ht="12.75">
      <c r="B199" s="18"/>
      <c r="D199" s="18"/>
    </row>
    <row r="200" spans="2:4" ht="12.75">
      <c r="B200" s="18"/>
      <c r="D200" s="18"/>
    </row>
    <row r="201" spans="2:4" ht="12.75">
      <c r="B201" s="18"/>
      <c r="D201" s="18"/>
    </row>
    <row r="202" spans="2:4" ht="12.75">
      <c r="B202" s="18"/>
      <c r="D202" s="18"/>
    </row>
    <row r="203" spans="2:4" ht="12.75">
      <c r="B203" s="18"/>
      <c r="D203" s="18"/>
    </row>
    <row r="204" spans="2:4" ht="12.75">
      <c r="B204" s="18"/>
      <c r="D204" s="18"/>
    </row>
    <row r="205" spans="2:4" ht="12.75">
      <c r="B205" s="18"/>
      <c r="D205" s="18"/>
    </row>
    <row r="206" spans="2:4" ht="12.75">
      <c r="B206" s="18"/>
      <c r="D206" s="18"/>
    </row>
    <row r="207" spans="2:4" ht="12.75">
      <c r="B207" s="18"/>
      <c r="D207" s="18"/>
    </row>
    <row r="208" spans="2:4" ht="12.75">
      <c r="B208" s="18"/>
      <c r="D208" s="18"/>
    </row>
    <row r="209" spans="2:4" ht="12.75">
      <c r="B209" s="18"/>
      <c r="D209" s="18"/>
    </row>
    <row r="210" spans="2:4" ht="12.75">
      <c r="B210" s="18"/>
      <c r="D210" s="18"/>
    </row>
    <row r="211" spans="2:4" ht="12.75">
      <c r="B211" s="18"/>
      <c r="D211" s="18"/>
    </row>
    <row r="212" spans="2:4" ht="12.75">
      <c r="B212" s="18"/>
      <c r="D212" s="18"/>
    </row>
    <row r="213" spans="2:4" ht="12.75">
      <c r="B213" s="18"/>
      <c r="D213" s="18"/>
    </row>
    <row r="214" spans="2:4" ht="12.75">
      <c r="B214" s="18"/>
      <c r="D214" s="18"/>
    </row>
    <row r="215" spans="2:4" ht="12.75">
      <c r="B215" s="18"/>
      <c r="D215" s="18"/>
    </row>
    <row r="216" spans="2:4" ht="12.75">
      <c r="B216" s="18"/>
      <c r="D216" s="18"/>
    </row>
    <row r="217" spans="2:4" ht="12.75">
      <c r="B217" s="18"/>
      <c r="D217" s="18"/>
    </row>
    <row r="218" spans="2:4" ht="12.75">
      <c r="B218" s="18"/>
      <c r="D218" s="18"/>
    </row>
    <row r="219" spans="2:4" ht="12.75">
      <c r="B219" s="18"/>
      <c r="D219" s="18"/>
    </row>
    <row r="220" spans="2:4" ht="12.75">
      <c r="B220" s="18"/>
      <c r="D220" s="18"/>
    </row>
    <row r="221" spans="2:4" ht="12.75">
      <c r="B221" s="18"/>
      <c r="D221" s="18"/>
    </row>
    <row r="222" spans="2:4" ht="12.75">
      <c r="B222" s="18"/>
      <c r="D222" s="18"/>
    </row>
    <row r="223" spans="2:4" ht="12.75">
      <c r="B223" s="18"/>
      <c r="D223" s="18"/>
    </row>
    <row r="224" spans="2:4" ht="12.75">
      <c r="B224" s="18"/>
      <c r="D224" s="18"/>
    </row>
    <row r="225" spans="2:4" ht="12.75">
      <c r="B225" s="18"/>
      <c r="D225" s="18"/>
    </row>
    <row r="226" spans="2:4" ht="12.75">
      <c r="B226" s="18"/>
      <c r="D226" s="18"/>
    </row>
    <row r="227" spans="2:4" ht="12.75">
      <c r="B227" s="18"/>
      <c r="D227" s="18"/>
    </row>
    <row r="228" spans="2:4" ht="12.75">
      <c r="B228" s="18"/>
      <c r="D228" s="18"/>
    </row>
    <row r="229" spans="2:4" ht="12.75">
      <c r="B229" s="18"/>
      <c r="D229" s="18"/>
    </row>
    <row r="230" spans="2:4" ht="12.75">
      <c r="B230" s="18"/>
      <c r="D230" s="18"/>
    </row>
    <row r="231" spans="2:4" ht="12.75">
      <c r="B231" s="18"/>
      <c r="D231" s="18"/>
    </row>
    <row r="232" spans="2:4" ht="12.75">
      <c r="B232" s="18"/>
      <c r="D232" s="18"/>
    </row>
    <row r="233" spans="2:4" ht="12.75">
      <c r="B233" s="18"/>
      <c r="D233" s="18"/>
    </row>
    <row r="234" spans="2:4" ht="12.75">
      <c r="B234" s="18"/>
      <c r="D234" s="18"/>
    </row>
    <row r="235" spans="2:4" ht="12.75">
      <c r="B235" s="18"/>
      <c r="D235" s="18"/>
    </row>
    <row r="236" spans="2:4" ht="12.75">
      <c r="B236" s="18"/>
      <c r="D236" s="18"/>
    </row>
    <row r="237" spans="2:4" ht="12.75">
      <c r="B237" s="18"/>
      <c r="D237" s="18"/>
    </row>
    <row r="238" spans="2:4" ht="12.75">
      <c r="B238" s="18"/>
      <c r="D238" s="18"/>
    </row>
    <row r="239" spans="2:4" ht="12.75">
      <c r="B239" s="18"/>
      <c r="D239" s="18"/>
    </row>
    <row r="240" spans="2:4" ht="12.75">
      <c r="B240" s="18"/>
      <c r="D240" s="18"/>
    </row>
    <row r="241" spans="2:4" ht="12.75">
      <c r="B241" s="18"/>
      <c r="D241" s="18"/>
    </row>
    <row r="242" spans="2:4" ht="12.75">
      <c r="B242" s="18"/>
      <c r="D242" s="18"/>
    </row>
    <row r="243" spans="2:4" ht="12.75">
      <c r="B243" s="18"/>
      <c r="D243" s="18"/>
    </row>
    <row r="244" spans="2:4" ht="12.75">
      <c r="B244" s="18"/>
      <c r="D244" s="18"/>
    </row>
    <row r="245" spans="2:4" ht="12.75">
      <c r="B245" s="18"/>
      <c r="D245" s="18"/>
    </row>
    <row r="246" spans="2:4" ht="12.75">
      <c r="B246" s="18"/>
      <c r="D246" s="18"/>
    </row>
    <row r="247" spans="2:4" ht="12.75">
      <c r="B247" s="18"/>
      <c r="D247" s="18"/>
    </row>
    <row r="248" spans="2:4" ht="12.75">
      <c r="B248" s="18"/>
      <c r="D248" s="18"/>
    </row>
    <row r="249" spans="2:4" ht="12.75">
      <c r="B249" s="18"/>
      <c r="D249" s="18"/>
    </row>
    <row r="250" spans="2:4" ht="12.75">
      <c r="B250" s="18"/>
      <c r="D250" s="18"/>
    </row>
    <row r="251" spans="2:4" ht="12.75">
      <c r="B251" s="18"/>
      <c r="D251" s="18"/>
    </row>
    <row r="252" spans="2:4" ht="12.75">
      <c r="B252" s="18"/>
      <c r="D252" s="18"/>
    </row>
    <row r="253" spans="2:4" ht="12.75">
      <c r="B253" s="18"/>
      <c r="D253" s="18"/>
    </row>
    <row r="254" spans="2:4" ht="12.75">
      <c r="B254" s="18"/>
      <c r="D254" s="18"/>
    </row>
    <row r="255" spans="2:4" ht="12.75">
      <c r="B255" s="18"/>
      <c r="D255" s="18"/>
    </row>
    <row r="256" spans="2:4" ht="12.75">
      <c r="B256" s="18"/>
      <c r="D256" s="18"/>
    </row>
    <row r="257" spans="2:4" ht="12.75">
      <c r="B257" s="18"/>
      <c r="D257" s="18"/>
    </row>
    <row r="258" spans="2:4" ht="12.75">
      <c r="B258" s="18"/>
      <c r="D258" s="18"/>
    </row>
    <row r="259" spans="2:4" ht="12.75">
      <c r="B259" s="18"/>
      <c r="D259" s="18"/>
    </row>
    <row r="260" spans="2:4" ht="12.75">
      <c r="B260" s="18"/>
      <c r="D260" s="18"/>
    </row>
    <row r="261" spans="2:4" ht="12.75">
      <c r="B261" s="18"/>
      <c r="D261" s="18"/>
    </row>
    <row r="262" spans="2:4" ht="12.75">
      <c r="B262" s="18"/>
      <c r="D262" s="18"/>
    </row>
    <row r="263" spans="2:4" ht="12.75">
      <c r="B263" s="18"/>
      <c r="D263" s="18"/>
    </row>
    <row r="264" spans="2:4" ht="12.75">
      <c r="B264" s="18"/>
      <c r="D264" s="18"/>
    </row>
    <row r="265" spans="2:4" ht="12.75">
      <c r="B265" s="18"/>
      <c r="D265" s="18"/>
    </row>
    <row r="266" spans="2:4" ht="12.75">
      <c r="B266" s="18"/>
      <c r="D266" s="18"/>
    </row>
    <row r="267" spans="2:4" ht="12.75">
      <c r="B267" s="18"/>
      <c r="D267" s="18"/>
    </row>
    <row r="268" spans="2:4" ht="12.75">
      <c r="B268" s="18"/>
      <c r="D268" s="18"/>
    </row>
    <row r="269" spans="2:4" ht="12.75">
      <c r="B269" s="18"/>
      <c r="D269" s="18"/>
    </row>
    <row r="270" spans="2:4" ht="12.75">
      <c r="B270" s="18"/>
      <c r="D270" s="18"/>
    </row>
    <row r="271" spans="2:4" ht="12.75">
      <c r="B271" s="18"/>
      <c r="D271" s="18"/>
    </row>
    <row r="272" spans="2:4" ht="12.75">
      <c r="B272" s="18"/>
      <c r="D272" s="18"/>
    </row>
    <row r="273" spans="2:4" ht="12.75">
      <c r="B273" s="18"/>
      <c r="D273" s="18"/>
    </row>
    <row r="274" spans="2:4" ht="12.75">
      <c r="B274" s="18"/>
      <c r="D274" s="18"/>
    </row>
    <row r="275" spans="2:4" ht="12.75">
      <c r="B275" s="18"/>
      <c r="D275" s="18"/>
    </row>
    <row r="276" spans="2:4" ht="12.75">
      <c r="B276" s="18"/>
      <c r="D276" s="18"/>
    </row>
    <row r="277" spans="2:4" ht="12.75">
      <c r="B277" s="18"/>
      <c r="D277" s="18"/>
    </row>
    <row r="278" spans="2:4" ht="12.75">
      <c r="B278" s="18"/>
      <c r="D278" s="18"/>
    </row>
    <row r="279" spans="2:4" ht="12.75">
      <c r="B279" s="18"/>
      <c r="D279" s="18"/>
    </row>
    <row r="280" spans="2:4" ht="12.75">
      <c r="B280" s="18"/>
      <c r="D280" s="18"/>
    </row>
    <row r="281" spans="2:4" ht="12.75">
      <c r="B281" s="18"/>
      <c r="D281" s="18"/>
    </row>
    <row r="282" spans="2:4" ht="12.75">
      <c r="B282" s="18"/>
      <c r="D282" s="18"/>
    </row>
    <row r="283" spans="2:4" ht="12.75">
      <c r="B283" s="18"/>
      <c r="D283" s="18"/>
    </row>
    <row r="284" spans="2:4" ht="12.75">
      <c r="B284" s="18"/>
      <c r="D284" s="18"/>
    </row>
    <row r="285" spans="2:4" ht="12.75">
      <c r="B285" s="18"/>
      <c r="D285" s="18"/>
    </row>
    <row r="286" spans="2:4" ht="12.75">
      <c r="B286" s="18"/>
      <c r="D286" s="18"/>
    </row>
    <row r="287" spans="2:4" ht="12.75">
      <c r="B287" s="18"/>
      <c r="D287" s="18"/>
    </row>
    <row r="288" spans="2:4" ht="12.75">
      <c r="B288" s="18"/>
      <c r="D288" s="18"/>
    </row>
    <row r="289" spans="2:4" ht="12.75">
      <c r="B289" s="18"/>
      <c r="D289" s="18"/>
    </row>
    <row r="290" spans="2:4" ht="12.75">
      <c r="B290" s="18"/>
      <c r="D290" s="18"/>
    </row>
    <row r="291" spans="2:4" ht="12.75">
      <c r="B291" s="18"/>
      <c r="D291" s="18"/>
    </row>
    <row r="292" spans="2:4" ht="12.75">
      <c r="B292" s="18"/>
      <c r="D292" s="18"/>
    </row>
    <row r="293" spans="2:4" ht="12.75">
      <c r="B293" s="18"/>
      <c r="D293" s="18"/>
    </row>
    <row r="294" spans="2:4" ht="12.75">
      <c r="B294" s="18"/>
      <c r="D294" s="18"/>
    </row>
    <row r="295" spans="2:4" ht="12.75">
      <c r="B295" s="18"/>
      <c r="D295" s="18"/>
    </row>
    <row r="296" spans="2:4" ht="12.75">
      <c r="B296" s="18"/>
      <c r="D296" s="18"/>
    </row>
    <row r="297" spans="2:4" ht="12.75">
      <c r="B297" s="18"/>
      <c r="D297" s="18"/>
    </row>
    <row r="298" spans="2:4" ht="12.75">
      <c r="B298" s="18"/>
      <c r="D298" s="18"/>
    </row>
    <row r="299" spans="2:4" ht="12.75">
      <c r="B299" s="18"/>
      <c r="D299" s="18"/>
    </row>
    <row r="300" spans="2:4" ht="12.75">
      <c r="B300" s="18"/>
      <c r="D300" s="18"/>
    </row>
    <row r="301" spans="2:4" ht="12.75">
      <c r="B301" s="18"/>
      <c r="D301" s="18"/>
    </row>
    <row r="302" spans="2:4" ht="12.75">
      <c r="B302" s="18"/>
      <c r="D302" s="18"/>
    </row>
    <row r="303" spans="2:4" ht="12.75">
      <c r="B303" s="18"/>
      <c r="D303" s="18"/>
    </row>
    <row r="304" spans="2:4" ht="12.75">
      <c r="B304" s="18"/>
      <c r="D304" s="18"/>
    </row>
    <row r="305" spans="2:4" ht="12.75">
      <c r="B305" s="18"/>
      <c r="D305" s="18"/>
    </row>
    <row r="306" spans="2:4" ht="12.75">
      <c r="B306" s="18"/>
      <c r="D306" s="18"/>
    </row>
    <row r="307" spans="2:4" ht="12.75">
      <c r="B307" s="18"/>
      <c r="D307" s="18"/>
    </row>
    <row r="308" spans="2:4" ht="12.75">
      <c r="B308" s="18"/>
      <c r="D308" s="18"/>
    </row>
    <row r="309" spans="2:4" ht="12.75">
      <c r="B309" s="18"/>
      <c r="D309" s="18"/>
    </row>
    <row r="310" spans="2:4" ht="12.75">
      <c r="B310" s="18"/>
      <c r="D310" s="18"/>
    </row>
    <row r="311" spans="2:4" ht="12.75">
      <c r="B311" s="18"/>
      <c r="D311" s="18"/>
    </row>
    <row r="312" spans="2:4" ht="12.75">
      <c r="B312" s="18"/>
      <c r="D312" s="18"/>
    </row>
    <row r="313" spans="2:4" ht="12.75">
      <c r="B313" s="18"/>
      <c r="D313" s="18"/>
    </row>
    <row r="314" spans="2:4" ht="12.75">
      <c r="B314" s="18"/>
      <c r="D314" s="18"/>
    </row>
    <row r="315" spans="2:4" ht="12.75">
      <c r="B315" s="18"/>
      <c r="D315" s="18"/>
    </row>
    <row r="316" spans="2:4" ht="12.75">
      <c r="B316" s="18"/>
      <c r="D316" s="18"/>
    </row>
    <row r="317" spans="2:4" ht="12.75">
      <c r="B317" s="18"/>
      <c r="D317" s="18"/>
    </row>
    <row r="318" spans="2:4" ht="12.75">
      <c r="B318" s="18"/>
      <c r="D318" s="18"/>
    </row>
    <row r="319" spans="2:4" ht="12.75">
      <c r="B319" s="18"/>
      <c r="D319" s="18"/>
    </row>
    <row r="320" spans="2:4" ht="12.75">
      <c r="B320" s="18"/>
      <c r="D320" s="18"/>
    </row>
    <row r="321" spans="2:4" ht="12.75">
      <c r="B321" s="18"/>
      <c r="D321" s="18"/>
    </row>
    <row r="322" spans="2:4" ht="12.75">
      <c r="B322" s="18"/>
      <c r="D322" s="18"/>
    </row>
    <row r="323" spans="2:4" ht="12.75">
      <c r="B323" s="18"/>
      <c r="D323" s="18"/>
    </row>
    <row r="324" spans="2:4" ht="12.75">
      <c r="B324" s="18"/>
      <c r="D324" s="18"/>
    </row>
    <row r="325" spans="2:4" ht="12.75">
      <c r="B325" s="18"/>
      <c r="D325" s="18"/>
    </row>
    <row r="326" spans="2:4" ht="12.75">
      <c r="B326" s="18"/>
      <c r="D326" s="18"/>
    </row>
    <row r="327" spans="2:4" ht="12.75">
      <c r="B327" s="18"/>
      <c r="D327" s="18"/>
    </row>
    <row r="328" spans="2:4" ht="12.75">
      <c r="B328" s="18"/>
      <c r="D328" s="18"/>
    </row>
    <row r="329" spans="2:4" ht="12.75">
      <c r="B329" s="18"/>
      <c r="D329" s="18"/>
    </row>
    <row r="330" spans="2:4" ht="12.75">
      <c r="B330" s="18"/>
      <c r="D330" s="18"/>
    </row>
    <row r="331" spans="2:4" ht="12.75">
      <c r="B331" s="18"/>
      <c r="D331" s="18"/>
    </row>
    <row r="332" spans="2:4" ht="12.75">
      <c r="B332" s="18"/>
      <c r="D332" s="18"/>
    </row>
    <row r="333" spans="2:4" ht="12.75">
      <c r="B333" s="18"/>
      <c r="D333" s="18"/>
    </row>
    <row r="334" spans="2:4" ht="12.75">
      <c r="B334" s="18"/>
      <c r="D334" s="18"/>
    </row>
    <row r="335" spans="2:4" ht="12.75">
      <c r="B335" s="18"/>
      <c r="D335" s="18"/>
    </row>
    <row r="336" spans="2:4" ht="12.75">
      <c r="B336" s="18"/>
      <c r="D336" s="18"/>
    </row>
    <row r="337" spans="2:4" ht="12.75">
      <c r="B337" s="18"/>
      <c r="D337" s="18"/>
    </row>
    <row r="338" spans="2:4" ht="12.75">
      <c r="B338" s="18"/>
      <c r="D338" s="18"/>
    </row>
    <row r="339" spans="2:4" ht="12.75">
      <c r="B339" s="18"/>
      <c r="D339" s="18"/>
    </row>
    <row r="340" spans="2:4" ht="12.75">
      <c r="B340" s="18"/>
      <c r="D340" s="18"/>
    </row>
    <row r="341" spans="2:4" ht="12.75">
      <c r="B341" s="18"/>
      <c r="D341" s="18"/>
    </row>
    <row r="342" spans="2:4" ht="12.75">
      <c r="B342" s="18"/>
      <c r="D342" s="18"/>
    </row>
    <row r="343" spans="2:4" ht="12.75">
      <c r="B343" s="18"/>
      <c r="D343" s="18"/>
    </row>
    <row r="344" spans="2:4" ht="12.75">
      <c r="B344" s="18"/>
      <c r="D344" s="18"/>
    </row>
    <row r="345" spans="2:4" ht="12.75">
      <c r="B345" s="18"/>
      <c r="D345" s="18"/>
    </row>
    <row r="346" spans="2:4" ht="12.75">
      <c r="B346" s="18"/>
      <c r="D346" s="18"/>
    </row>
    <row r="347" spans="2:4" ht="12.75">
      <c r="B347" s="18"/>
      <c r="D347" s="18"/>
    </row>
    <row r="348" spans="2:4" ht="12.75">
      <c r="B348" s="18"/>
      <c r="D348" s="18"/>
    </row>
    <row r="349" spans="2:4" ht="12.75">
      <c r="B349" s="18"/>
      <c r="D349" s="18"/>
    </row>
    <row r="350" spans="2:4" ht="12.75">
      <c r="B350" s="18"/>
      <c r="D350" s="18"/>
    </row>
    <row r="351" spans="2:4" ht="12.75">
      <c r="B351" s="18"/>
      <c r="D351" s="18"/>
    </row>
    <row r="352" spans="2:4" ht="12.75">
      <c r="B352" s="18"/>
      <c r="D352" s="18"/>
    </row>
    <row r="353" spans="2:4" ht="12.75">
      <c r="B353" s="18"/>
      <c r="D353" s="18"/>
    </row>
    <row r="354" spans="2:4" ht="12.75">
      <c r="B354" s="18"/>
      <c r="D354" s="18"/>
    </row>
    <row r="355" spans="2:4" ht="12.75">
      <c r="B355" s="18"/>
      <c r="D355" s="18"/>
    </row>
    <row r="356" spans="2:4" ht="12.75">
      <c r="B356" s="18"/>
      <c r="D356" s="18"/>
    </row>
    <row r="357" spans="2:4" ht="12.75">
      <c r="B357" s="18"/>
      <c r="D357" s="18"/>
    </row>
    <row r="358" spans="2:4" ht="12.75">
      <c r="B358" s="18"/>
      <c r="D358" s="18"/>
    </row>
    <row r="359" spans="2:4" ht="12.75">
      <c r="B359" s="18"/>
      <c r="D359" s="18"/>
    </row>
    <row r="360" spans="2:4" ht="12.75">
      <c r="B360" s="18"/>
      <c r="D360" s="18"/>
    </row>
    <row r="361" spans="2:4" ht="12.75">
      <c r="B361" s="18"/>
      <c r="D361" s="18"/>
    </row>
    <row r="362" spans="2:4" ht="12.75">
      <c r="B362" s="18"/>
      <c r="D362" s="18"/>
    </row>
    <row r="363" spans="2:4" ht="12.75">
      <c r="B363" s="18"/>
      <c r="D363" s="18"/>
    </row>
    <row r="364" spans="2:4" ht="12.75">
      <c r="B364" s="18"/>
      <c r="D364" s="18"/>
    </row>
    <row r="365" spans="2:4" ht="12.75">
      <c r="B365" s="18"/>
      <c r="D365" s="18"/>
    </row>
    <row r="366" spans="2:4" ht="12.75">
      <c r="B366" s="18"/>
      <c r="D366" s="18"/>
    </row>
    <row r="367" spans="2:4" ht="12.75">
      <c r="B367" s="18"/>
      <c r="D367" s="18"/>
    </row>
    <row r="368" spans="2:4" ht="12.75">
      <c r="B368" s="18"/>
      <c r="D368" s="18"/>
    </row>
    <row r="369" spans="2:4" ht="12.75">
      <c r="B369" s="18"/>
      <c r="D369" s="18"/>
    </row>
    <row r="370" spans="2:4" ht="12.75">
      <c r="B370" s="18"/>
      <c r="D370" s="18"/>
    </row>
    <row r="371" spans="2:4" ht="12.75">
      <c r="B371" s="18"/>
      <c r="D371" s="18"/>
    </row>
    <row r="372" spans="2:4" ht="12.75">
      <c r="B372" s="18"/>
      <c r="D372" s="18"/>
    </row>
    <row r="373" spans="2:4" ht="12.75">
      <c r="B373" s="18"/>
      <c r="D373" s="18"/>
    </row>
    <row r="374" spans="2:4" ht="12.75">
      <c r="B374" s="18"/>
      <c r="D374" s="18"/>
    </row>
    <row r="375" spans="2:4" ht="12.75">
      <c r="B375" s="18"/>
      <c r="D375" s="18"/>
    </row>
    <row r="376" spans="2:4" ht="12.75">
      <c r="B376" s="18"/>
      <c r="D376" s="18"/>
    </row>
    <row r="377" spans="2:4" ht="12.75">
      <c r="B377" s="18"/>
      <c r="D377" s="18"/>
    </row>
    <row r="378" spans="2:4" ht="12.75">
      <c r="B378" s="18"/>
      <c r="D378" s="18"/>
    </row>
    <row r="379" spans="2:4" ht="12.75">
      <c r="B379" s="18"/>
      <c r="D379" s="18"/>
    </row>
    <row r="380" spans="2:4" ht="12.75">
      <c r="B380" s="18"/>
      <c r="D380" s="18"/>
    </row>
    <row r="381" spans="2:4" ht="12.75">
      <c r="B381" s="18"/>
      <c r="D381" s="18"/>
    </row>
    <row r="382" spans="2:4" ht="12.75">
      <c r="B382" s="18"/>
      <c r="D382" s="18"/>
    </row>
    <row r="383" spans="2:4" ht="12.75">
      <c r="B383" s="18"/>
      <c r="D383" s="18"/>
    </row>
    <row r="384" spans="2:4" ht="12.75">
      <c r="B384" s="18"/>
      <c r="D384" s="18"/>
    </row>
    <row r="385" spans="2:4" ht="12.75">
      <c r="B385" s="18"/>
      <c r="D385" s="18"/>
    </row>
    <row r="386" spans="2:4" ht="12.75">
      <c r="B386" s="18"/>
      <c r="D386" s="18"/>
    </row>
    <row r="387" spans="2:4" ht="12.75">
      <c r="B387" s="18"/>
      <c r="D387" s="18"/>
    </row>
    <row r="388" spans="2:4" ht="12.75">
      <c r="B388" s="18"/>
      <c r="D388" s="18"/>
    </row>
    <row r="389" spans="2:4" ht="12.75">
      <c r="B389" s="18"/>
      <c r="D389" s="18"/>
    </row>
    <row r="390" spans="2:4" ht="12.75">
      <c r="B390" s="18"/>
      <c r="D390" s="18"/>
    </row>
    <row r="391" spans="2:4" ht="12.75">
      <c r="B391" s="18"/>
      <c r="D391" s="18"/>
    </row>
    <row r="392" spans="2:4" ht="12.75">
      <c r="B392" s="18"/>
      <c r="D392" s="18"/>
    </row>
    <row r="393" spans="2:4" ht="12.75">
      <c r="B393" s="18"/>
      <c r="D393" s="18"/>
    </row>
    <row r="394" spans="2:4" ht="12.75">
      <c r="B394" s="18"/>
      <c r="D394" s="18"/>
    </row>
    <row r="395" spans="2:4" ht="12.75">
      <c r="B395" s="18"/>
      <c r="D395" s="18"/>
    </row>
    <row r="396" spans="2:4" ht="12.75">
      <c r="B396" s="18"/>
      <c r="D396" s="18"/>
    </row>
    <row r="397" spans="2:4" ht="12.75">
      <c r="B397" s="18"/>
      <c r="D397" s="18"/>
    </row>
    <row r="398" spans="2:4" ht="12.75">
      <c r="B398" s="18"/>
      <c r="D398" s="18"/>
    </row>
    <row r="399" spans="2:4" ht="12.75">
      <c r="B399" s="18"/>
      <c r="D399" s="18"/>
    </row>
    <row r="400" spans="2:4" ht="12.75">
      <c r="B400" s="18"/>
      <c r="D400" s="18"/>
    </row>
    <row r="401" spans="2:4" ht="12.75">
      <c r="B401" s="18"/>
      <c r="D401" s="18"/>
    </row>
    <row r="402" spans="2:4" ht="12.75">
      <c r="B402" s="18"/>
      <c r="D402" s="18"/>
    </row>
    <row r="403" spans="2:4" ht="12.75">
      <c r="B403" s="18"/>
      <c r="D403" s="18"/>
    </row>
    <row r="404" spans="2:4" ht="12.75">
      <c r="B404" s="18"/>
      <c r="D404" s="18"/>
    </row>
    <row r="405" spans="2:4" ht="12.75">
      <c r="B405" s="18"/>
      <c r="D405" s="18"/>
    </row>
    <row r="406" spans="2:4" ht="12.75">
      <c r="B406" s="18"/>
      <c r="D406" s="18"/>
    </row>
    <row r="407" spans="2:4" ht="12.75">
      <c r="B407" s="18"/>
      <c r="D407" s="18"/>
    </row>
    <row r="408" spans="2:4" ht="12.75">
      <c r="B408" s="18"/>
      <c r="D408" s="18"/>
    </row>
    <row r="409" spans="2:4" ht="12.75">
      <c r="B409" s="18"/>
      <c r="D409" s="18"/>
    </row>
    <row r="410" spans="2:4" ht="12.75">
      <c r="B410" s="18"/>
      <c r="D410" s="18"/>
    </row>
    <row r="411" spans="2:4" ht="12.75">
      <c r="B411" s="18"/>
      <c r="D411" s="18"/>
    </row>
    <row r="412" spans="2:4" ht="12.75">
      <c r="B412" s="18"/>
      <c r="D412" s="18"/>
    </row>
    <row r="413" spans="2:4" ht="12.75">
      <c r="B413" s="18"/>
      <c r="D413" s="18"/>
    </row>
    <row r="414" spans="2:4" ht="12.75">
      <c r="B414" s="18"/>
      <c r="D414" s="18"/>
    </row>
    <row r="415" spans="2:4" ht="12.75">
      <c r="B415" s="18"/>
      <c r="D415" s="18"/>
    </row>
    <row r="416" spans="2:4" ht="12.75">
      <c r="B416" s="18"/>
      <c r="D416" s="18"/>
    </row>
    <row r="417" spans="2:4" ht="12.75">
      <c r="B417" s="18"/>
      <c r="D417" s="18"/>
    </row>
    <row r="418" spans="2:4" ht="12.75">
      <c r="B418" s="18"/>
      <c r="D418" s="18"/>
    </row>
    <row r="419" spans="2:4" ht="12.75">
      <c r="B419" s="18"/>
      <c r="D419" s="18"/>
    </row>
    <row r="420" spans="2:4" ht="12.75">
      <c r="B420" s="18"/>
      <c r="D420" s="18"/>
    </row>
    <row r="421" spans="2:4" ht="12.75">
      <c r="B421" s="18"/>
      <c r="D421" s="18"/>
    </row>
    <row r="422" spans="2:4" ht="12.75">
      <c r="B422" s="18"/>
      <c r="D422" s="18"/>
    </row>
    <row r="423" spans="2:4" ht="12.75">
      <c r="B423" s="18"/>
      <c r="D423" s="18"/>
    </row>
    <row r="424" spans="2:4" ht="12.75">
      <c r="B424" s="18"/>
      <c r="D424" s="18"/>
    </row>
    <row r="425" spans="2:4" ht="12.75">
      <c r="B425" s="18"/>
      <c r="D425" s="18"/>
    </row>
    <row r="426" spans="2:4" ht="12.75">
      <c r="B426" s="18"/>
      <c r="D426" s="18"/>
    </row>
    <row r="427" spans="2:4" ht="12.75">
      <c r="B427" s="18"/>
      <c r="D427" s="18"/>
    </row>
    <row r="428" spans="2:4" ht="12.75">
      <c r="B428" s="18"/>
      <c r="D428" s="18"/>
    </row>
    <row r="429" spans="2:4" ht="12.75">
      <c r="B429" s="18"/>
      <c r="D429" s="18"/>
    </row>
    <row r="430" spans="2:4" ht="12.75">
      <c r="B430" s="18"/>
      <c r="D430" s="18"/>
    </row>
    <row r="431" spans="2:4" ht="12.75">
      <c r="B431" s="18"/>
      <c r="D431" s="18"/>
    </row>
    <row r="432" spans="2:4" ht="12.75">
      <c r="B432" s="18"/>
      <c r="D432" s="18"/>
    </row>
    <row r="433" spans="2:4" ht="12.75">
      <c r="B433" s="18"/>
      <c r="D433" s="18"/>
    </row>
    <row r="434" spans="2:4" ht="12.75">
      <c r="B434" s="18"/>
      <c r="D434" s="18"/>
    </row>
    <row r="435" spans="2:4" ht="12.75">
      <c r="B435" s="18"/>
      <c r="D435" s="18"/>
    </row>
    <row r="436" spans="2:4" ht="12.75">
      <c r="B436" s="18"/>
      <c r="D436" s="18"/>
    </row>
    <row r="437" spans="2:4" ht="12.75">
      <c r="B437" s="18"/>
      <c r="D437" s="18"/>
    </row>
    <row r="438" spans="2:4" ht="12.75">
      <c r="B438" s="18"/>
      <c r="D438" s="18"/>
    </row>
    <row r="439" spans="2:4" ht="12.75">
      <c r="B439" s="18"/>
      <c r="D439" s="18"/>
    </row>
    <row r="440" spans="2:4" ht="12.75">
      <c r="B440" s="18"/>
      <c r="D440" s="18"/>
    </row>
    <row r="441" spans="2:4" ht="12.75">
      <c r="B441" s="18"/>
      <c r="D441" s="18"/>
    </row>
    <row r="442" spans="2:4" ht="12.75">
      <c r="B442" s="18"/>
      <c r="D442" s="18"/>
    </row>
    <row r="443" spans="2:4" ht="12.75">
      <c r="B443" s="18"/>
      <c r="D443" s="18"/>
    </row>
    <row r="444" spans="2:4" ht="12.75">
      <c r="B444" s="18"/>
      <c r="D444" s="18"/>
    </row>
    <row r="445" spans="2:4" ht="12.75">
      <c r="B445" s="18"/>
      <c r="D445" s="18"/>
    </row>
    <row r="446" spans="2:4" ht="12.75">
      <c r="B446" s="18"/>
      <c r="D446" s="18"/>
    </row>
    <row r="447" spans="2:4" ht="12.75">
      <c r="B447" s="18"/>
      <c r="D447" s="18"/>
    </row>
    <row r="448" spans="2:4" ht="12.75">
      <c r="B448" s="18"/>
      <c r="D448" s="18"/>
    </row>
    <row r="449" spans="2:4" ht="12.75">
      <c r="B449" s="18"/>
      <c r="D449" s="18"/>
    </row>
    <row r="450" spans="2:4" ht="12.75">
      <c r="B450" s="18"/>
      <c r="D450" s="18"/>
    </row>
    <row r="451" spans="2:4" ht="12.75">
      <c r="B451" s="18"/>
      <c r="D451" s="18"/>
    </row>
    <row r="452" spans="2:4" ht="12.75">
      <c r="B452" s="18"/>
      <c r="D452" s="18"/>
    </row>
    <row r="453" spans="2:4" ht="12.75">
      <c r="B453" s="18"/>
      <c r="D453" s="18"/>
    </row>
    <row r="454" spans="2:4" ht="12.75">
      <c r="B454" s="18"/>
      <c r="D454" s="18"/>
    </row>
    <row r="455" spans="2:4" ht="12.75">
      <c r="B455" s="18"/>
      <c r="D455" s="18"/>
    </row>
    <row r="456" spans="2:4" ht="12.75">
      <c r="B456" s="18"/>
      <c r="D456" s="18"/>
    </row>
    <row r="457" spans="2:4" ht="12.75">
      <c r="B457" s="18"/>
      <c r="D457" s="18"/>
    </row>
    <row r="458" spans="2:4" ht="12.75">
      <c r="B458" s="18"/>
      <c r="D458" s="18"/>
    </row>
    <row r="459" spans="2:4" ht="12.75">
      <c r="B459" s="18"/>
      <c r="D459" s="18"/>
    </row>
    <row r="460" spans="2:4" ht="12.75">
      <c r="B460" s="18"/>
      <c r="D460" s="18"/>
    </row>
    <row r="461" spans="2:4" ht="12.75">
      <c r="B461" s="18"/>
      <c r="D461" s="18"/>
    </row>
    <row r="462" spans="2:4" ht="12.75">
      <c r="B462" s="18"/>
      <c r="D462" s="18"/>
    </row>
    <row r="463" spans="2:4" ht="12.75">
      <c r="B463" s="18"/>
      <c r="D463" s="18"/>
    </row>
    <row r="464" spans="2:4" ht="12.75">
      <c r="B464" s="18"/>
      <c r="D464" s="18"/>
    </row>
    <row r="465" spans="2:4" ht="12.75">
      <c r="B465" s="18"/>
      <c r="D465" s="18"/>
    </row>
    <row r="466" spans="2:4" ht="12.75">
      <c r="B466" s="18"/>
      <c r="D466" s="18"/>
    </row>
    <row r="467" spans="2:4" ht="12.75">
      <c r="B467" s="18"/>
      <c r="D467" s="18"/>
    </row>
    <row r="468" spans="2:4" ht="12.75">
      <c r="B468" s="18"/>
      <c r="D468" s="18"/>
    </row>
    <row r="469" spans="2:4" ht="12.75">
      <c r="B469" s="18"/>
      <c r="D469" s="18"/>
    </row>
    <row r="470" spans="2:4" ht="12.75">
      <c r="B470" s="18"/>
      <c r="D470" s="18"/>
    </row>
    <row r="471" spans="2:4" ht="12.75">
      <c r="B471" s="18"/>
      <c r="D471" s="18"/>
    </row>
    <row r="472" spans="2:4" ht="12.75">
      <c r="B472" s="18"/>
      <c r="D472" s="18"/>
    </row>
    <row r="473" spans="2:4" ht="12.75">
      <c r="B473" s="18"/>
      <c r="D473" s="18"/>
    </row>
    <row r="474" spans="2:4" ht="12.75">
      <c r="B474" s="18"/>
      <c r="D474" s="18"/>
    </row>
    <row r="475" spans="2:4" ht="12.75">
      <c r="B475" s="18"/>
      <c r="D475" s="18"/>
    </row>
    <row r="476" spans="2:4" ht="12.75">
      <c r="B476" s="18"/>
      <c r="D476" s="18"/>
    </row>
    <row r="477" spans="2:4" ht="12.75">
      <c r="B477" s="18"/>
      <c r="D477" s="18"/>
    </row>
    <row r="478" spans="2:4" ht="12.75">
      <c r="B478" s="18"/>
      <c r="D478" s="18"/>
    </row>
    <row r="479" spans="2:4" ht="12.75">
      <c r="B479" s="18"/>
      <c r="D479" s="18"/>
    </row>
    <row r="480" spans="2:4" ht="12.75">
      <c r="B480" s="18"/>
      <c r="D480" s="18"/>
    </row>
    <row r="481" spans="2:4" ht="12.75">
      <c r="B481" s="18"/>
      <c r="D481" s="18"/>
    </row>
    <row r="482" spans="2:4" ht="12.75">
      <c r="B482" s="18"/>
      <c r="D482" s="18"/>
    </row>
    <row r="483" spans="2:4" ht="12.75">
      <c r="B483" s="18"/>
      <c r="D483" s="18"/>
    </row>
    <row r="484" spans="2:4" ht="12.75">
      <c r="B484" s="18"/>
      <c r="D484" s="18"/>
    </row>
    <row r="485" spans="2:4" ht="12.75">
      <c r="B485" s="18"/>
      <c r="D485" s="18"/>
    </row>
    <row r="486" spans="2:4" ht="12.75">
      <c r="B486" s="18"/>
      <c r="D486" s="18"/>
    </row>
    <row r="487" spans="2:4" ht="12.75">
      <c r="B487" s="18"/>
      <c r="D487" s="18"/>
    </row>
    <row r="488" spans="2:4" ht="12.75">
      <c r="B488" s="18"/>
      <c r="D488" s="18"/>
    </row>
    <row r="489" spans="2:4" ht="12.75">
      <c r="B489" s="18"/>
      <c r="D489" s="18"/>
    </row>
    <row r="490" spans="2:4" ht="12.75">
      <c r="B490" s="18"/>
      <c r="D490" s="18"/>
    </row>
    <row r="491" spans="2:4" ht="12.75">
      <c r="B491" s="18"/>
      <c r="D491" s="18"/>
    </row>
    <row r="492" spans="2:4" ht="12.75">
      <c r="B492" s="18"/>
      <c r="D492" s="18"/>
    </row>
    <row r="493" spans="2:4" ht="12.75">
      <c r="B493" s="18"/>
      <c r="D493" s="18"/>
    </row>
    <row r="494" spans="2:4" ht="12.75">
      <c r="B494" s="18"/>
      <c r="D494" s="18"/>
    </row>
    <row r="495" spans="2:4" ht="12.75">
      <c r="B495" s="18"/>
      <c r="D495" s="18"/>
    </row>
    <row r="496" spans="2:4" ht="12.75">
      <c r="B496" s="18"/>
      <c r="D496" s="18"/>
    </row>
    <row r="497" spans="2:4" ht="12.75">
      <c r="B497" s="18"/>
      <c r="D497" s="18"/>
    </row>
    <row r="498" spans="2:4" ht="12.75">
      <c r="B498" s="18"/>
      <c r="D498" s="18"/>
    </row>
    <row r="499" spans="2:4" ht="12.75">
      <c r="B499" s="18"/>
      <c r="D499" s="18"/>
    </row>
    <row r="500" spans="2:4" ht="12.75">
      <c r="B500" s="18"/>
      <c r="D500" s="18"/>
    </row>
    <row r="501" spans="2:4" ht="12.75">
      <c r="B501" s="18"/>
      <c r="D501" s="18"/>
    </row>
    <row r="502" spans="2:4" ht="12.75">
      <c r="B502" s="18"/>
      <c r="D502" s="18"/>
    </row>
    <row r="503" spans="2:4" ht="12.75">
      <c r="B503" s="18"/>
      <c r="D503" s="18"/>
    </row>
    <row r="504" spans="2:4" ht="12.75">
      <c r="B504" s="18"/>
      <c r="D504" s="18"/>
    </row>
    <row r="505" spans="2:4" ht="12.75">
      <c r="B505" s="18"/>
      <c r="D505" s="18"/>
    </row>
    <row r="506" spans="2:4" ht="12.75">
      <c r="B506" s="18"/>
      <c r="D506" s="18"/>
    </row>
    <row r="507" spans="2:4" ht="12.75">
      <c r="B507" s="18"/>
      <c r="D507" s="18"/>
    </row>
    <row r="508" spans="2:4" ht="12.75">
      <c r="B508" s="18"/>
      <c r="D508" s="18"/>
    </row>
    <row r="509" spans="2:4" ht="12.75">
      <c r="B509" s="18"/>
      <c r="D509" s="18"/>
    </row>
    <row r="510" spans="2:4" ht="12.75">
      <c r="B510" s="18"/>
      <c r="D510" s="18"/>
    </row>
    <row r="511" spans="2:4" ht="12.75">
      <c r="B511" s="18"/>
      <c r="D511" s="18"/>
    </row>
    <row r="512" spans="2:4" ht="12.75">
      <c r="B512" s="18"/>
      <c r="D512" s="18"/>
    </row>
    <row r="513" spans="2:4" ht="12.75">
      <c r="B513" s="18"/>
      <c r="D513" s="18"/>
    </row>
    <row r="514" spans="2:4" ht="12.75">
      <c r="B514" s="18"/>
      <c r="D514" s="18"/>
    </row>
    <row r="515" spans="2:4" ht="12.75">
      <c r="B515" s="18"/>
      <c r="D515" s="18"/>
    </row>
    <row r="516" spans="2:4" ht="12.75">
      <c r="B516" s="18"/>
      <c r="D516" s="18"/>
    </row>
    <row r="517" spans="2:4" ht="12.75">
      <c r="B517" s="18"/>
      <c r="D517" s="18"/>
    </row>
    <row r="518" spans="2:4" ht="12.75">
      <c r="B518" s="18"/>
      <c r="D518" s="18"/>
    </row>
    <row r="519" spans="2:4" ht="12.75">
      <c r="B519" s="18"/>
      <c r="D519" s="18"/>
    </row>
    <row r="520" spans="2:4" ht="12.75">
      <c r="B520" s="18"/>
      <c r="D520" s="18"/>
    </row>
    <row r="521" spans="2:4" ht="12.75">
      <c r="B521" s="18"/>
      <c r="D521" s="18"/>
    </row>
    <row r="522" spans="2:4" ht="12.75">
      <c r="B522" s="18"/>
      <c r="D522" s="18"/>
    </row>
    <row r="523" spans="2:4" ht="12.75">
      <c r="B523" s="18"/>
      <c r="D523" s="18"/>
    </row>
    <row r="524" spans="2:4" ht="12.75">
      <c r="B524" s="18"/>
      <c r="D524" s="18"/>
    </row>
    <row r="525" spans="2:4" ht="12.75">
      <c r="B525" s="18"/>
      <c r="D525" s="18"/>
    </row>
    <row r="526" spans="2:4" ht="12.75">
      <c r="B526" s="18"/>
      <c r="D526" s="18"/>
    </row>
    <row r="527" spans="2:4" ht="12.75">
      <c r="B527" s="18"/>
      <c r="D527" s="18"/>
    </row>
    <row r="528" spans="2:4" ht="12.75">
      <c r="B528" s="18"/>
      <c r="D528" s="18"/>
    </row>
    <row r="529" spans="2:4" ht="12.75">
      <c r="B529" s="18"/>
      <c r="D529" s="18"/>
    </row>
    <row r="530" spans="2:4" ht="12.75">
      <c r="B530" s="18"/>
      <c r="D530" s="18"/>
    </row>
    <row r="531" spans="2:4" ht="12.75">
      <c r="B531" s="18"/>
      <c r="D531" s="18"/>
    </row>
    <row r="532" spans="2:4" ht="12.75">
      <c r="B532" s="18"/>
      <c r="D532" s="18"/>
    </row>
    <row r="533" spans="2:4" ht="12.75">
      <c r="B533" s="18"/>
      <c r="D533" s="18"/>
    </row>
    <row r="534" spans="2:4" ht="12.75">
      <c r="B534" s="18"/>
      <c r="D534" s="18"/>
    </row>
    <row r="535" spans="2:4" ht="12.75">
      <c r="B535" s="18"/>
      <c r="D535" s="18"/>
    </row>
    <row r="536" spans="2:4" ht="12.75">
      <c r="B536" s="18"/>
      <c r="D536" s="18"/>
    </row>
    <row r="537" spans="2:4" ht="12.75">
      <c r="B537" s="18"/>
      <c r="D537" s="18"/>
    </row>
    <row r="538" spans="2:4" ht="12.75">
      <c r="B538" s="18"/>
      <c r="D538" s="18"/>
    </row>
    <row r="539" spans="2:4" ht="12.75">
      <c r="B539" s="18"/>
      <c r="D539" s="18"/>
    </row>
    <row r="540" spans="2:4" ht="12.75">
      <c r="B540" s="18"/>
      <c r="D540" s="18"/>
    </row>
    <row r="541" spans="2:4" ht="12.75">
      <c r="B541" s="18"/>
      <c r="D541" s="18"/>
    </row>
  </sheetData>
  <sheetProtection/>
  <mergeCells count="1">
    <mergeCell ref="F6:G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97"/>
  <sheetViews>
    <sheetView zoomScalePageLayoutView="0" workbookViewId="0" topLeftCell="A1">
      <selection activeCell="G8" sqref="G8"/>
    </sheetView>
  </sheetViews>
  <sheetFormatPr defaultColWidth="9.140625" defaultRowHeight="12.75"/>
  <cols>
    <col min="2" max="2" width="27.57421875" style="0" bestFit="1" customWidth="1"/>
    <col min="3" max="3" width="25.421875" style="0" bestFit="1" customWidth="1"/>
  </cols>
  <sheetData>
    <row r="2" ht="15">
      <c r="B2" s="211" t="s">
        <v>744</v>
      </c>
    </row>
    <row r="5" spans="1:3" ht="12.75">
      <c r="A5" s="20" t="s">
        <v>70</v>
      </c>
      <c r="B5" s="21" t="s">
        <v>9</v>
      </c>
      <c r="C5" s="21" t="s">
        <v>71</v>
      </c>
    </row>
    <row r="6" spans="1:3" ht="12.75">
      <c r="A6">
        <v>1</v>
      </c>
      <c r="B6" t="s">
        <v>72</v>
      </c>
      <c r="C6" t="s">
        <v>73</v>
      </c>
    </row>
    <row r="7" spans="1:3" ht="12.75">
      <c r="A7">
        <v>2</v>
      </c>
      <c r="B7" t="s">
        <v>74</v>
      </c>
      <c r="C7" t="s">
        <v>75</v>
      </c>
    </row>
    <row r="8" spans="1:3" ht="12.75">
      <c r="A8">
        <v>3</v>
      </c>
      <c r="B8" t="s">
        <v>76</v>
      </c>
      <c r="C8" t="s">
        <v>77</v>
      </c>
    </row>
    <row r="9" spans="1:3" ht="12.75">
      <c r="A9">
        <v>4</v>
      </c>
      <c r="B9" t="s">
        <v>78</v>
      </c>
      <c r="C9" t="s">
        <v>79</v>
      </c>
    </row>
    <row r="10" spans="1:3" ht="12.75">
      <c r="A10">
        <v>5</v>
      </c>
      <c r="B10" t="s">
        <v>80</v>
      </c>
      <c r="C10" t="s">
        <v>81</v>
      </c>
    </row>
    <row r="11" spans="1:3" ht="12.75">
      <c r="A11">
        <v>6</v>
      </c>
      <c r="B11" t="s">
        <v>82</v>
      </c>
      <c r="C11" t="s">
        <v>83</v>
      </c>
    </row>
    <row r="12" spans="1:3" ht="12.75">
      <c r="A12">
        <v>7</v>
      </c>
      <c r="B12" t="s">
        <v>84</v>
      </c>
      <c r="C12" t="s">
        <v>85</v>
      </c>
    </row>
    <row r="13" spans="1:3" ht="12.75">
      <c r="A13">
        <v>8</v>
      </c>
      <c r="B13" t="s">
        <v>86</v>
      </c>
      <c r="C13" t="s">
        <v>87</v>
      </c>
    </row>
    <row r="14" spans="1:3" ht="12.75">
      <c r="A14">
        <v>9</v>
      </c>
      <c r="B14" t="s">
        <v>88</v>
      </c>
      <c r="C14" t="s">
        <v>89</v>
      </c>
    </row>
    <row r="15" spans="1:3" ht="12.75">
      <c r="A15">
        <v>10</v>
      </c>
      <c r="B15" t="s">
        <v>90</v>
      </c>
      <c r="C15" t="s">
        <v>91</v>
      </c>
    </row>
    <row r="16" spans="1:3" ht="12.75">
      <c r="A16">
        <v>11</v>
      </c>
      <c r="B16" t="s">
        <v>92</v>
      </c>
      <c r="C16" t="s">
        <v>93</v>
      </c>
    </row>
    <row r="17" spans="1:3" ht="12.75">
      <c r="A17">
        <v>12</v>
      </c>
      <c r="B17" t="s">
        <v>94</v>
      </c>
      <c r="C17" t="s">
        <v>95</v>
      </c>
    </row>
    <row r="18" spans="1:3" ht="12.75">
      <c r="A18">
        <v>13</v>
      </c>
      <c r="B18" t="s">
        <v>96</v>
      </c>
      <c r="C18" t="s">
        <v>97</v>
      </c>
    </row>
    <row r="19" spans="1:3" ht="12.75">
      <c r="A19">
        <v>14</v>
      </c>
      <c r="B19" t="s">
        <v>98</v>
      </c>
      <c r="C19" t="s">
        <v>99</v>
      </c>
    </row>
    <row r="20" spans="1:3" ht="12.75">
      <c r="A20">
        <v>15</v>
      </c>
      <c r="B20" t="s">
        <v>100</v>
      </c>
      <c r="C20" t="s">
        <v>101</v>
      </c>
    </row>
    <row r="21" spans="1:3" ht="12.75">
      <c r="A21">
        <v>16</v>
      </c>
      <c r="B21" t="s">
        <v>102</v>
      </c>
      <c r="C21" t="s">
        <v>103</v>
      </c>
    </row>
    <row r="22" spans="1:3" ht="12.75">
      <c r="A22">
        <v>17</v>
      </c>
      <c r="B22" t="s">
        <v>104</v>
      </c>
      <c r="C22" t="s">
        <v>105</v>
      </c>
    </row>
    <row r="23" spans="1:3" ht="12.75">
      <c r="A23">
        <v>18</v>
      </c>
      <c r="B23" t="s">
        <v>106</v>
      </c>
      <c r="C23" t="s">
        <v>107</v>
      </c>
    </row>
    <row r="24" spans="1:3" ht="12.75">
      <c r="A24">
        <v>19</v>
      </c>
      <c r="B24" t="s">
        <v>108</v>
      </c>
      <c r="C24" t="s">
        <v>109</v>
      </c>
    </row>
    <row r="25" spans="1:3" ht="12.75">
      <c r="A25">
        <v>20</v>
      </c>
      <c r="B25" t="s">
        <v>110</v>
      </c>
      <c r="C25" t="s">
        <v>111</v>
      </c>
    </row>
    <row r="26" spans="1:3" ht="12.75">
      <c r="A26">
        <v>21</v>
      </c>
      <c r="B26" t="s">
        <v>112</v>
      </c>
      <c r="C26" t="s">
        <v>113</v>
      </c>
    </row>
    <row r="27" spans="1:3" ht="12.75">
      <c r="A27">
        <v>22</v>
      </c>
      <c r="B27" t="s">
        <v>114</v>
      </c>
      <c r="C27" t="s">
        <v>115</v>
      </c>
    </row>
    <row r="28" spans="1:3" ht="12.75">
      <c r="A28">
        <v>23</v>
      </c>
      <c r="B28" t="s">
        <v>116</v>
      </c>
      <c r="C28" t="s">
        <v>117</v>
      </c>
    </row>
    <row r="29" spans="1:3" ht="12.75">
      <c r="A29">
        <v>24</v>
      </c>
      <c r="B29" t="s">
        <v>118</v>
      </c>
      <c r="C29" t="s">
        <v>119</v>
      </c>
    </row>
    <row r="30" spans="1:3" ht="12.75">
      <c r="A30">
        <v>25</v>
      </c>
      <c r="B30" t="s">
        <v>120</v>
      </c>
      <c r="C30" t="s">
        <v>121</v>
      </c>
    </row>
    <row r="31" spans="1:3" ht="12.75">
      <c r="A31">
        <v>26</v>
      </c>
      <c r="B31" t="s">
        <v>122</v>
      </c>
      <c r="C31" t="s">
        <v>123</v>
      </c>
    </row>
    <row r="32" spans="1:3" ht="12.75">
      <c r="A32">
        <v>27</v>
      </c>
      <c r="B32" t="s">
        <v>124</v>
      </c>
      <c r="C32" t="s">
        <v>125</v>
      </c>
    </row>
    <row r="33" spans="1:3" ht="12.75">
      <c r="A33">
        <v>28</v>
      </c>
      <c r="B33" t="s">
        <v>126</v>
      </c>
      <c r="C33" t="s">
        <v>127</v>
      </c>
    </row>
    <row r="34" spans="1:3" ht="12.75">
      <c r="A34">
        <v>29</v>
      </c>
      <c r="B34" t="s">
        <v>128</v>
      </c>
      <c r="C34" t="s">
        <v>129</v>
      </c>
    </row>
    <row r="35" spans="1:3" ht="12.75">
      <c r="A35">
        <v>30</v>
      </c>
      <c r="B35" t="s">
        <v>130</v>
      </c>
      <c r="C35" t="s">
        <v>131</v>
      </c>
    </row>
    <row r="36" spans="1:3" ht="12.75">
      <c r="A36">
        <v>31</v>
      </c>
      <c r="B36" t="s">
        <v>132</v>
      </c>
      <c r="C36" t="s">
        <v>133</v>
      </c>
    </row>
    <row r="37" spans="1:3" ht="12.75">
      <c r="A37">
        <v>32</v>
      </c>
      <c r="B37" t="s">
        <v>134</v>
      </c>
      <c r="C37" t="s">
        <v>135</v>
      </c>
    </row>
    <row r="38" spans="1:3" ht="12.75">
      <c r="A38">
        <v>33</v>
      </c>
      <c r="B38" t="s">
        <v>136</v>
      </c>
      <c r="C38" t="s">
        <v>137</v>
      </c>
    </row>
    <row r="39" spans="1:3" ht="12.75">
      <c r="A39">
        <v>34</v>
      </c>
      <c r="B39" t="s">
        <v>138</v>
      </c>
      <c r="C39" t="s">
        <v>139</v>
      </c>
    </row>
    <row r="40" spans="1:3" ht="12.75">
      <c r="A40">
        <v>35</v>
      </c>
      <c r="B40" t="s">
        <v>140</v>
      </c>
      <c r="C40" t="s">
        <v>141</v>
      </c>
    </row>
    <row r="41" spans="1:3" ht="12.75">
      <c r="A41">
        <v>36</v>
      </c>
      <c r="B41" t="s">
        <v>142</v>
      </c>
      <c r="C41" t="s">
        <v>143</v>
      </c>
    </row>
    <row r="42" spans="1:3" ht="12.75">
      <c r="A42">
        <v>37</v>
      </c>
      <c r="B42" t="s">
        <v>144</v>
      </c>
      <c r="C42" t="s">
        <v>145</v>
      </c>
    </row>
    <row r="43" spans="1:3" ht="12.75">
      <c r="A43">
        <v>38</v>
      </c>
      <c r="B43" t="s">
        <v>146</v>
      </c>
      <c r="C43" t="s">
        <v>147</v>
      </c>
    </row>
    <row r="44" spans="1:3" ht="12.75">
      <c r="A44">
        <v>39</v>
      </c>
      <c r="B44" t="s">
        <v>148</v>
      </c>
      <c r="C44" t="s">
        <v>149</v>
      </c>
    </row>
    <row r="45" spans="1:3" ht="12.75">
      <c r="A45">
        <v>40</v>
      </c>
      <c r="B45" t="s">
        <v>150</v>
      </c>
      <c r="C45" t="s">
        <v>151</v>
      </c>
    </row>
    <row r="46" spans="1:3" ht="12.75">
      <c r="A46">
        <v>41</v>
      </c>
      <c r="B46" t="s">
        <v>152</v>
      </c>
      <c r="C46" t="s">
        <v>153</v>
      </c>
    </row>
    <row r="47" spans="1:3" ht="12.75">
      <c r="A47">
        <v>42</v>
      </c>
      <c r="B47" t="s">
        <v>154</v>
      </c>
      <c r="C47" t="s">
        <v>155</v>
      </c>
    </row>
    <row r="48" spans="1:3" ht="12.75">
      <c r="A48">
        <v>43</v>
      </c>
      <c r="B48" t="s">
        <v>156</v>
      </c>
      <c r="C48" t="s">
        <v>157</v>
      </c>
    </row>
    <row r="49" spans="1:3" ht="12.75">
      <c r="A49">
        <v>44</v>
      </c>
      <c r="B49" t="s">
        <v>158</v>
      </c>
      <c r="C49" t="s">
        <v>159</v>
      </c>
    </row>
    <row r="50" spans="1:3" ht="12.75">
      <c r="A50">
        <v>45</v>
      </c>
      <c r="B50" t="s">
        <v>160</v>
      </c>
      <c r="C50" t="s">
        <v>161</v>
      </c>
    </row>
    <row r="51" spans="1:3" ht="12.75">
      <c r="A51">
        <v>46</v>
      </c>
      <c r="B51" t="s">
        <v>162</v>
      </c>
      <c r="C51" t="s">
        <v>163</v>
      </c>
    </row>
    <row r="52" spans="1:3" ht="12.75">
      <c r="A52">
        <v>47</v>
      </c>
      <c r="B52" t="s">
        <v>164</v>
      </c>
      <c r="C52" t="s">
        <v>165</v>
      </c>
    </row>
    <row r="53" spans="1:3" ht="12.75">
      <c r="A53">
        <v>48</v>
      </c>
      <c r="B53" t="s">
        <v>166</v>
      </c>
      <c r="C53" t="s">
        <v>167</v>
      </c>
    </row>
    <row r="54" spans="1:3" ht="12.75">
      <c r="A54">
        <v>49</v>
      </c>
      <c r="B54" t="s">
        <v>168</v>
      </c>
      <c r="C54" t="s">
        <v>169</v>
      </c>
    </row>
    <row r="55" spans="1:3" ht="12.75">
      <c r="A55">
        <v>50</v>
      </c>
      <c r="B55" t="s">
        <v>170</v>
      </c>
      <c r="C55" t="s">
        <v>171</v>
      </c>
    </row>
    <row r="56" spans="1:3" ht="12.75">
      <c r="A56">
        <v>51</v>
      </c>
      <c r="B56" t="s">
        <v>172</v>
      </c>
      <c r="C56" t="s">
        <v>173</v>
      </c>
    </row>
    <row r="57" spans="1:3" ht="12.75">
      <c r="A57">
        <v>52</v>
      </c>
      <c r="B57" t="s">
        <v>174</v>
      </c>
      <c r="C57" t="s">
        <v>175</v>
      </c>
    </row>
    <row r="58" spans="1:3" ht="12.75">
      <c r="A58">
        <v>53</v>
      </c>
      <c r="B58" t="s">
        <v>176</v>
      </c>
      <c r="C58" t="s">
        <v>177</v>
      </c>
    </row>
    <row r="59" spans="1:3" ht="12.75">
      <c r="A59">
        <v>54</v>
      </c>
      <c r="B59" t="s">
        <v>178</v>
      </c>
      <c r="C59" t="s">
        <v>179</v>
      </c>
    </row>
    <row r="60" spans="1:3" ht="12.75">
      <c r="A60">
        <v>55</v>
      </c>
      <c r="B60" t="s">
        <v>180</v>
      </c>
      <c r="C60" t="s">
        <v>181</v>
      </c>
    </row>
    <row r="61" spans="1:3" ht="12.75">
      <c r="A61">
        <v>56</v>
      </c>
      <c r="B61" t="s">
        <v>182</v>
      </c>
      <c r="C61" t="s">
        <v>183</v>
      </c>
    </row>
    <row r="62" spans="1:3" ht="12.75">
      <c r="A62">
        <v>57</v>
      </c>
      <c r="B62" t="s">
        <v>184</v>
      </c>
      <c r="C62" t="s">
        <v>185</v>
      </c>
    </row>
    <row r="63" spans="1:3" ht="12.75">
      <c r="A63">
        <v>58</v>
      </c>
      <c r="B63" t="s">
        <v>186</v>
      </c>
      <c r="C63" t="s">
        <v>187</v>
      </c>
    </row>
    <row r="64" spans="1:3" ht="12.75">
      <c r="A64">
        <v>59</v>
      </c>
      <c r="B64" t="s">
        <v>188</v>
      </c>
      <c r="C64" t="s">
        <v>189</v>
      </c>
    </row>
    <row r="65" spans="1:3" ht="12.75">
      <c r="A65">
        <v>60</v>
      </c>
      <c r="B65" t="s">
        <v>190</v>
      </c>
      <c r="C65" t="s">
        <v>191</v>
      </c>
    </row>
    <row r="66" spans="1:3" ht="12.75">
      <c r="A66">
        <v>61</v>
      </c>
      <c r="B66" t="s">
        <v>192</v>
      </c>
      <c r="C66" t="s">
        <v>193</v>
      </c>
    </row>
    <row r="67" spans="1:3" ht="12.75">
      <c r="A67">
        <v>62</v>
      </c>
      <c r="B67" t="s">
        <v>194</v>
      </c>
      <c r="C67" t="s">
        <v>195</v>
      </c>
    </row>
    <row r="68" spans="1:3" ht="12.75">
      <c r="A68">
        <v>63</v>
      </c>
      <c r="B68" t="s">
        <v>196</v>
      </c>
      <c r="C68" t="s">
        <v>197</v>
      </c>
    </row>
    <row r="69" spans="1:3" ht="12.75">
      <c r="A69">
        <v>64</v>
      </c>
      <c r="B69" t="s">
        <v>198</v>
      </c>
      <c r="C69" t="s">
        <v>199</v>
      </c>
    </row>
    <row r="70" spans="1:3" ht="12.75">
      <c r="A70">
        <v>65</v>
      </c>
      <c r="B70" t="s">
        <v>200</v>
      </c>
      <c r="C70" t="s">
        <v>201</v>
      </c>
    </row>
    <row r="71" spans="1:3" ht="12.75">
      <c r="A71">
        <v>66</v>
      </c>
      <c r="B71" t="s">
        <v>202</v>
      </c>
      <c r="C71" t="s">
        <v>203</v>
      </c>
    </row>
    <row r="72" spans="1:3" ht="12.75">
      <c r="A72">
        <v>67</v>
      </c>
      <c r="B72" t="s">
        <v>204</v>
      </c>
      <c r="C72" t="s">
        <v>205</v>
      </c>
    </row>
    <row r="73" spans="1:3" ht="12.75">
      <c r="A73">
        <v>68</v>
      </c>
      <c r="B73" t="s">
        <v>206</v>
      </c>
      <c r="C73" t="s">
        <v>207</v>
      </c>
    </row>
    <row r="74" spans="1:3" ht="12.75">
      <c r="A74">
        <v>69</v>
      </c>
      <c r="B74" t="s">
        <v>208</v>
      </c>
      <c r="C74" t="s">
        <v>209</v>
      </c>
    </row>
    <row r="75" spans="1:3" ht="12.75">
      <c r="A75">
        <v>70</v>
      </c>
      <c r="B75" t="s">
        <v>210</v>
      </c>
      <c r="C75" t="s">
        <v>211</v>
      </c>
    </row>
    <row r="76" spans="1:3" ht="12.75">
      <c r="A76">
        <v>71</v>
      </c>
      <c r="B76" t="s">
        <v>212</v>
      </c>
      <c r="C76" t="s">
        <v>213</v>
      </c>
    </row>
    <row r="77" spans="1:3" ht="12.75">
      <c r="A77">
        <v>72</v>
      </c>
      <c r="B77" t="s">
        <v>214</v>
      </c>
      <c r="C77" t="s">
        <v>215</v>
      </c>
    </row>
    <row r="78" spans="1:3" ht="12.75">
      <c r="A78">
        <v>73</v>
      </c>
      <c r="B78" t="s">
        <v>216</v>
      </c>
      <c r="C78" t="s">
        <v>217</v>
      </c>
    </row>
    <row r="79" spans="1:3" ht="12.75">
      <c r="A79">
        <v>74</v>
      </c>
      <c r="B79" t="s">
        <v>218</v>
      </c>
      <c r="C79" t="s">
        <v>219</v>
      </c>
    </row>
    <row r="80" spans="1:3" ht="12.75">
      <c r="A80">
        <v>75</v>
      </c>
      <c r="B80" t="s">
        <v>220</v>
      </c>
      <c r="C80" t="s">
        <v>221</v>
      </c>
    </row>
    <row r="81" spans="1:3" ht="12.75">
      <c r="A81">
        <v>76</v>
      </c>
      <c r="B81" t="s">
        <v>222</v>
      </c>
      <c r="C81" t="s">
        <v>223</v>
      </c>
    </row>
    <row r="82" spans="1:3" ht="12.75">
      <c r="A82">
        <v>77</v>
      </c>
      <c r="B82" t="s">
        <v>224</v>
      </c>
      <c r="C82" t="s">
        <v>225</v>
      </c>
    </row>
    <row r="83" spans="1:3" ht="12.75">
      <c r="A83">
        <v>78</v>
      </c>
      <c r="B83" t="s">
        <v>226</v>
      </c>
      <c r="C83" t="s">
        <v>227</v>
      </c>
    </row>
    <row r="84" spans="1:3" ht="12.75">
      <c r="A84">
        <v>79</v>
      </c>
      <c r="B84" t="s">
        <v>228</v>
      </c>
      <c r="C84" t="s">
        <v>229</v>
      </c>
    </row>
    <row r="85" spans="1:3" ht="12.75">
      <c r="A85">
        <v>80</v>
      </c>
      <c r="B85" t="s">
        <v>230</v>
      </c>
      <c r="C85" t="s">
        <v>231</v>
      </c>
    </row>
    <row r="86" spans="1:3" ht="12.75">
      <c r="A86">
        <v>81</v>
      </c>
      <c r="B86" t="s">
        <v>232</v>
      </c>
      <c r="C86" t="s">
        <v>233</v>
      </c>
    </row>
    <row r="87" spans="1:3" ht="12.75">
      <c r="A87">
        <v>82</v>
      </c>
      <c r="B87" t="s">
        <v>234</v>
      </c>
      <c r="C87" t="s">
        <v>235</v>
      </c>
    </row>
    <row r="88" spans="1:3" ht="12.75">
      <c r="A88">
        <v>83</v>
      </c>
      <c r="B88" t="s">
        <v>236</v>
      </c>
      <c r="C88" t="s">
        <v>237</v>
      </c>
    </row>
    <row r="89" spans="1:3" ht="12.75">
      <c r="A89">
        <v>84</v>
      </c>
      <c r="B89" t="s">
        <v>238</v>
      </c>
      <c r="C89" t="s">
        <v>239</v>
      </c>
    </row>
    <row r="90" spans="1:3" ht="12.75">
      <c r="A90">
        <v>85</v>
      </c>
      <c r="B90" t="s">
        <v>240</v>
      </c>
      <c r="C90" t="s">
        <v>241</v>
      </c>
    </row>
    <row r="91" spans="1:3" ht="12.75">
      <c r="A91">
        <v>86</v>
      </c>
      <c r="B91" t="s">
        <v>242</v>
      </c>
      <c r="C91" t="s">
        <v>243</v>
      </c>
    </row>
    <row r="92" spans="1:3" ht="12.75">
      <c r="A92">
        <v>87</v>
      </c>
      <c r="B92" t="s">
        <v>244</v>
      </c>
      <c r="C92" t="s">
        <v>245</v>
      </c>
    </row>
    <row r="93" spans="1:3" ht="12.75">
      <c r="A93">
        <v>88</v>
      </c>
      <c r="B93" t="s">
        <v>246</v>
      </c>
      <c r="C93" t="s">
        <v>247</v>
      </c>
    </row>
    <row r="94" spans="1:3" ht="12.75">
      <c r="A94">
        <v>89</v>
      </c>
      <c r="B94" t="s">
        <v>248</v>
      </c>
      <c r="C94" t="s">
        <v>249</v>
      </c>
    </row>
    <row r="95" spans="1:3" ht="12.75">
      <c r="A95">
        <v>90</v>
      </c>
      <c r="B95" t="s">
        <v>250</v>
      </c>
      <c r="C95" t="s">
        <v>251</v>
      </c>
    </row>
    <row r="96" spans="1:3" ht="12.75">
      <c r="A96">
        <v>91</v>
      </c>
      <c r="B96" t="s">
        <v>252</v>
      </c>
      <c r="C96" t="s">
        <v>253</v>
      </c>
    </row>
    <row r="97" spans="1:3" ht="12.75">
      <c r="A97">
        <v>92</v>
      </c>
      <c r="B97" t="s">
        <v>254</v>
      </c>
      <c r="C97" t="s">
        <v>255</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4:E43"/>
  <sheetViews>
    <sheetView zoomScalePageLayoutView="0" workbookViewId="0" topLeftCell="A1">
      <selection activeCell="A1" sqref="A1"/>
    </sheetView>
  </sheetViews>
  <sheetFormatPr defaultColWidth="9.140625" defaultRowHeight="12.75"/>
  <cols>
    <col min="1" max="1" width="28.421875" style="0" bestFit="1" customWidth="1"/>
    <col min="2" max="2" width="17.00390625" style="0" customWidth="1"/>
    <col min="3" max="3" width="27.57421875" style="0" bestFit="1" customWidth="1"/>
    <col min="4" max="4" width="32.00390625" style="0" bestFit="1" customWidth="1"/>
    <col min="5" max="5" width="50.140625" style="0" bestFit="1" customWidth="1"/>
  </cols>
  <sheetData>
    <row r="4" spans="1:3" ht="15.75">
      <c r="A4" s="63" t="s">
        <v>300</v>
      </c>
      <c r="B4">
        <v>400</v>
      </c>
      <c r="C4" t="s">
        <v>301</v>
      </c>
    </row>
    <row r="6" spans="1:2" ht="15.75">
      <c r="A6" s="63" t="s">
        <v>302</v>
      </c>
      <c r="B6" s="13"/>
    </row>
    <row r="7" spans="1:5" ht="15.75">
      <c r="A7" s="63"/>
      <c r="B7" s="64" t="s">
        <v>303</v>
      </c>
      <c r="C7" s="60" t="s">
        <v>382</v>
      </c>
      <c r="D7" s="60" t="s">
        <v>381</v>
      </c>
      <c r="E7" s="64" t="s">
        <v>469</v>
      </c>
    </row>
    <row r="8" spans="1:5" ht="12.75">
      <c r="A8" t="s">
        <v>304</v>
      </c>
      <c r="B8" s="65">
        <v>2200</v>
      </c>
      <c r="C8" s="65">
        <f>250*5</f>
        <v>1250</v>
      </c>
      <c r="D8" s="65">
        <v>250</v>
      </c>
      <c r="E8" s="65">
        <f>IF(B8-D8&lt;0,0,B8-D8)</f>
        <v>1950</v>
      </c>
    </row>
    <row r="9" spans="1:5" ht="12.75">
      <c r="A9" t="s">
        <v>306</v>
      </c>
      <c r="B9" s="65">
        <v>1440</v>
      </c>
      <c r="C9" s="65">
        <f aca="true" t="shared" si="0" ref="C9:C19">250*5</f>
        <v>1250</v>
      </c>
      <c r="D9" s="65">
        <v>250</v>
      </c>
      <c r="E9" s="65">
        <f aca="true" t="shared" si="1" ref="E9:E19">IF(B9-D9&lt;0,0,B9-D9)</f>
        <v>1190</v>
      </c>
    </row>
    <row r="10" spans="1:5" ht="12.75">
      <c r="A10" t="s">
        <v>307</v>
      </c>
      <c r="B10" s="65">
        <v>1240</v>
      </c>
      <c r="C10" s="65">
        <f t="shared" si="0"/>
        <v>1250</v>
      </c>
      <c r="D10" s="65">
        <v>250</v>
      </c>
      <c r="E10" s="65">
        <f t="shared" si="1"/>
        <v>990</v>
      </c>
    </row>
    <row r="11" spans="1:5" ht="12.75">
      <c r="A11" t="s">
        <v>308</v>
      </c>
      <c r="B11" s="65">
        <v>1040</v>
      </c>
      <c r="C11" s="65">
        <f t="shared" si="0"/>
        <v>1250</v>
      </c>
      <c r="D11" s="65">
        <v>250</v>
      </c>
      <c r="E11" s="65">
        <f t="shared" si="1"/>
        <v>790</v>
      </c>
    </row>
    <row r="12" spans="1:5" ht="12.75">
      <c r="A12" t="s">
        <v>309</v>
      </c>
      <c r="B12" s="65">
        <v>2000</v>
      </c>
      <c r="C12" s="65">
        <f t="shared" si="0"/>
        <v>1250</v>
      </c>
      <c r="D12" s="65">
        <v>250</v>
      </c>
      <c r="E12" s="65">
        <f t="shared" si="1"/>
        <v>1750</v>
      </c>
    </row>
    <row r="13" spans="1:5" ht="12.75">
      <c r="A13" t="s">
        <v>310</v>
      </c>
      <c r="B13" s="65">
        <v>1360</v>
      </c>
      <c r="C13" s="65">
        <f t="shared" si="0"/>
        <v>1250</v>
      </c>
      <c r="D13" s="65">
        <v>250</v>
      </c>
      <c r="E13" s="65">
        <f t="shared" si="1"/>
        <v>1110</v>
      </c>
    </row>
    <row r="14" spans="1:5" ht="12.75">
      <c r="A14" t="s">
        <v>311</v>
      </c>
      <c r="B14" s="65">
        <v>2400</v>
      </c>
      <c r="C14" s="65">
        <f t="shared" si="0"/>
        <v>1250</v>
      </c>
      <c r="D14" s="65">
        <v>250</v>
      </c>
      <c r="E14" s="65">
        <f t="shared" si="1"/>
        <v>2150</v>
      </c>
    </row>
    <row r="15" spans="1:5" ht="12.75">
      <c r="A15" t="s">
        <v>312</v>
      </c>
      <c r="B15" s="65">
        <v>2200</v>
      </c>
      <c r="C15" s="65">
        <f t="shared" si="0"/>
        <v>1250</v>
      </c>
      <c r="D15" s="65">
        <v>250</v>
      </c>
      <c r="E15" s="65">
        <f t="shared" si="1"/>
        <v>1950</v>
      </c>
    </row>
    <row r="16" spans="1:5" ht="12.75">
      <c r="A16" t="s">
        <v>313</v>
      </c>
      <c r="B16" s="65">
        <v>1320</v>
      </c>
      <c r="C16" s="65">
        <f t="shared" si="0"/>
        <v>1250</v>
      </c>
      <c r="D16" s="65">
        <v>250</v>
      </c>
      <c r="E16" s="65">
        <f t="shared" si="1"/>
        <v>1070</v>
      </c>
    </row>
    <row r="17" spans="1:5" ht="12.75">
      <c r="A17" t="s">
        <v>315</v>
      </c>
      <c r="B17" s="65">
        <v>1360</v>
      </c>
      <c r="C17" s="65">
        <f t="shared" si="0"/>
        <v>1250</v>
      </c>
      <c r="D17" s="65">
        <v>250</v>
      </c>
      <c r="E17" s="65">
        <f t="shared" si="1"/>
        <v>1110</v>
      </c>
    </row>
    <row r="18" spans="1:5" ht="12.75">
      <c r="A18" t="s">
        <v>316</v>
      </c>
      <c r="B18" s="65">
        <v>1240</v>
      </c>
      <c r="C18" s="65">
        <f t="shared" si="0"/>
        <v>1250</v>
      </c>
      <c r="D18" s="65">
        <v>250</v>
      </c>
      <c r="E18" s="65">
        <f t="shared" si="1"/>
        <v>990</v>
      </c>
    </row>
    <row r="19" spans="1:5" ht="12.75">
      <c r="A19" t="s">
        <v>317</v>
      </c>
      <c r="B19" s="65">
        <v>1320</v>
      </c>
      <c r="C19" s="65">
        <f t="shared" si="0"/>
        <v>1250</v>
      </c>
      <c r="D19" s="65">
        <v>250</v>
      </c>
      <c r="E19" s="65">
        <f t="shared" si="1"/>
        <v>1070</v>
      </c>
    </row>
    <row r="20" ht="12.75">
      <c r="C20" s="18"/>
    </row>
    <row r="21" spans="1:3" ht="15.75">
      <c r="A21" s="63" t="s">
        <v>318</v>
      </c>
      <c r="B21" s="13"/>
      <c r="C21" s="18"/>
    </row>
    <row r="22" spans="1:5" ht="15.75">
      <c r="A22" s="63"/>
      <c r="B22" s="64" t="s">
        <v>303</v>
      </c>
      <c r="D22" s="60" t="s">
        <v>381</v>
      </c>
      <c r="E22" s="60" t="s">
        <v>469</v>
      </c>
    </row>
    <row r="23" spans="1:5" ht="12.75">
      <c r="A23" t="s">
        <v>305</v>
      </c>
      <c r="B23" s="65">
        <v>1800</v>
      </c>
      <c r="C23" s="65"/>
      <c r="D23" s="65">
        <v>250</v>
      </c>
      <c r="E23" s="65">
        <f aca="true" t="shared" si="2" ref="E23:E43">IF(B23-D23&lt;0,0,B23-D23)</f>
        <v>1550</v>
      </c>
    </row>
    <row r="24" spans="1:5" ht="12.75">
      <c r="A24" t="s">
        <v>319</v>
      </c>
      <c r="B24" s="18" t="s">
        <v>320</v>
      </c>
      <c r="D24" s="65">
        <v>250</v>
      </c>
      <c r="E24" s="65" t="e">
        <f t="shared" si="2"/>
        <v>#VALUE!</v>
      </c>
    </row>
    <row r="25" spans="1:5" ht="12.75">
      <c r="A25" t="s">
        <v>321</v>
      </c>
      <c r="B25" s="65">
        <v>1120</v>
      </c>
      <c r="D25" s="65">
        <v>250</v>
      </c>
      <c r="E25" s="65">
        <f t="shared" si="2"/>
        <v>870</v>
      </c>
    </row>
    <row r="26" spans="1:5" ht="12.75">
      <c r="A26" t="s">
        <v>322</v>
      </c>
      <c r="B26" s="65">
        <v>560</v>
      </c>
      <c r="D26" s="65">
        <v>250</v>
      </c>
      <c r="E26" s="65">
        <f t="shared" si="2"/>
        <v>310</v>
      </c>
    </row>
    <row r="27" spans="1:5" ht="12.75">
      <c r="A27" t="s">
        <v>323</v>
      </c>
      <c r="B27" s="18" t="s">
        <v>320</v>
      </c>
      <c r="D27" s="65">
        <v>250</v>
      </c>
      <c r="E27" s="65" t="e">
        <f t="shared" si="2"/>
        <v>#VALUE!</v>
      </c>
    </row>
    <row r="28" spans="1:5" ht="12.75">
      <c r="A28" t="s">
        <v>324</v>
      </c>
      <c r="B28" s="65">
        <v>360</v>
      </c>
      <c r="D28" s="65">
        <v>250</v>
      </c>
      <c r="E28" s="65">
        <f t="shared" si="2"/>
        <v>110</v>
      </c>
    </row>
    <row r="29" spans="1:5" ht="12.75">
      <c r="A29" t="s">
        <v>325</v>
      </c>
      <c r="B29" s="65">
        <v>520</v>
      </c>
      <c r="D29" s="65">
        <v>250</v>
      </c>
      <c r="E29" s="65">
        <f t="shared" si="2"/>
        <v>270</v>
      </c>
    </row>
    <row r="30" spans="1:5" ht="12.75">
      <c r="A30" t="s">
        <v>326</v>
      </c>
      <c r="B30" s="65">
        <v>240</v>
      </c>
      <c r="D30" s="65">
        <v>250</v>
      </c>
      <c r="E30" s="65">
        <f t="shared" si="2"/>
        <v>0</v>
      </c>
    </row>
    <row r="31" spans="1:5" ht="12.75">
      <c r="A31" t="s">
        <v>327</v>
      </c>
      <c r="B31" s="65">
        <v>600</v>
      </c>
      <c r="D31" s="65">
        <v>250</v>
      </c>
      <c r="E31" s="65">
        <f t="shared" si="2"/>
        <v>350</v>
      </c>
    </row>
    <row r="32" spans="1:5" ht="12.75">
      <c r="A32" t="s">
        <v>328</v>
      </c>
      <c r="B32" s="65">
        <v>1600</v>
      </c>
      <c r="D32" s="65">
        <v>250</v>
      </c>
      <c r="E32" s="65">
        <f t="shared" si="2"/>
        <v>1350</v>
      </c>
    </row>
    <row r="33" spans="1:5" ht="12.75">
      <c r="A33" t="s">
        <v>329</v>
      </c>
      <c r="B33" s="65">
        <v>4000</v>
      </c>
      <c r="D33" s="65">
        <v>250</v>
      </c>
      <c r="E33" s="65">
        <f t="shared" si="2"/>
        <v>3750</v>
      </c>
    </row>
    <row r="34" spans="1:5" ht="12.75">
      <c r="A34" t="s">
        <v>330</v>
      </c>
      <c r="B34" s="65">
        <v>450</v>
      </c>
      <c r="D34" s="65">
        <v>250</v>
      </c>
      <c r="E34" s="65">
        <f t="shared" si="2"/>
        <v>200</v>
      </c>
    </row>
    <row r="35" spans="1:5" ht="12.75">
      <c r="A35" t="s">
        <v>314</v>
      </c>
      <c r="B35" s="65">
        <v>1300</v>
      </c>
      <c r="C35" s="65"/>
      <c r="D35" s="65">
        <v>250</v>
      </c>
      <c r="E35" s="65">
        <f t="shared" si="2"/>
        <v>1050</v>
      </c>
    </row>
    <row r="36" spans="1:5" ht="12.75">
      <c r="A36" t="s">
        <v>297</v>
      </c>
      <c r="B36" s="65">
        <v>940</v>
      </c>
      <c r="C36" s="37"/>
      <c r="D36" s="65">
        <v>250</v>
      </c>
      <c r="E36" s="65">
        <f t="shared" si="2"/>
        <v>690</v>
      </c>
    </row>
    <row r="37" spans="1:5" ht="12.75">
      <c r="A37" t="s">
        <v>331</v>
      </c>
      <c r="B37" s="65">
        <v>150</v>
      </c>
      <c r="C37" s="37" t="s">
        <v>383</v>
      </c>
      <c r="D37" s="65">
        <v>0</v>
      </c>
      <c r="E37" s="65">
        <f t="shared" si="2"/>
        <v>150</v>
      </c>
    </row>
    <row r="38" spans="1:5" ht="12.75">
      <c r="A38" t="s">
        <v>332</v>
      </c>
      <c r="B38" s="65">
        <v>500</v>
      </c>
      <c r="C38" s="37" t="s">
        <v>383</v>
      </c>
      <c r="D38" s="65">
        <v>0</v>
      </c>
      <c r="E38" s="65">
        <f t="shared" si="2"/>
        <v>500</v>
      </c>
    </row>
    <row r="39" spans="1:5" ht="12.75">
      <c r="A39" t="s">
        <v>333</v>
      </c>
      <c r="B39" s="65">
        <v>1200</v>
      </c>
      <c r="C39" s="37" t="s">
        <v>383</v>
      </c>
      <c r="D39" s="65">
        <v>0</v>
      </c>
      <c r="E39" s="65">
        <f t="shared" si="2"/>
        <v>1200</v>
      </c>
    </row>
    <row r="40" spans="1:5" ht="12.75">
      <c r="A40" t="s">
        <v>384</v>
      </c>
      <c r="B40" s="65">
        <v>2400</v>
      </c>
      <c r="C40" s="37" t="s">
        <v>383</v>
      </c>
      <c r="D40" s="65">
        <v>0</v>
      </c>
      <c r="E40" s="65">
        <f t="shared" si="2"/>
        <v>2400</v>
      </c>
    </row>
    <row r="41" spans="1:5" ht="12.75">
      <c r="A41" t="s">
        <v>334</v>
      </c>
      <c r="B41" s="65">
        <v>4500</v>
      </c>
      <c r="C41" s="37" t="s">
        <v>383</v>
      </c>
      <c r="D41" s="65">
        <v>0</v>
      </c>
      <c r="E41" s="65">
        <f t="shared" si="2"/>
        <v>4500</v>
      </c>
    </row>
    <row r="42" spans="1:5" ht="12.75">
      <c r="A42" t="s">
        <v>335</v>
      </c>
      <c r="B42" s="65">
        <v>1600</v>
      </c>
      <c r="D42" s="65">
        <v>250</v>
      </c>
      <c r="E42" s="65">
        <f t="shared" si="2"/>
        <v>1350</v>
      </c>
    </row>
    <row r="43" spans="1:5" ht="12.75">
      <c r="A43" t="s">
        <v>336</v>
      </c>
      <c r="B43" s="65">
        <v>475</v>
      </c>
      <c r="D43" s="65">
        <v>250</v>
      </c>
      <c r="E43" s="65">
        <f t="shared" si="2"/>
        <v>225</v>
      </c>
    </row>
  </sheetData>
  <sheetProtection/>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AU147"/>
  <sheetViews>
    <sheetView zoomScalePageLayoutView="0" workbookViewId="0" topLeftCell="B1">
      <pane xSplit="8385" ySplit="2655" topLeftCell="AB1" activePane="topRight" state="split"/>
      <selection pane="topLeft" activeCell="I1" sqref="I1:I16384"/>
      <selection pane="topRight" activeCell="AC5" sqref="AC5"/>
      <selection pane="bottomLeft" activeCell="H66" sqref="H66"/>
      <selection pane="bottomRight" activeCell="AC61" sqref="AC61"/>
    </sheetView>
  </sheetViews>
  <sheetFormatPr defaultColWidth="9.140625" defaultRowHeight="12.75"/>
  <cols>
    <col min="2" max="2" width="21.28125" style="0" customWidth="1"/>
    <col min="11" max="11" width="10.57421875" style="0" customWidth="1"/>
    <col min="12" max="12" width="7.57421875" style="0" customWidth="1"/>
    <col min="13" max="13" width="10.421875" style="0" bestFit="1" customWidth="1"/>
    <col min="14" max="14" width="10.421875" style="0" customWidth="1"/>
    <col min="23" max="23" width="10.7109375" style="0" bestFit="1" customWidth="1"/>
    <col min="27" max="27" width="11.7109375" style="0" customWidth="1"/>
    <col min="28" max="28" width="10.140625" style="0" bestFit="1" customWidth="1"/>
    <col min="29" max="33" width="10.140625" style="0" customWidth="1"/>
    <col min="34" max="46" width="9.28125" style="0" bestFit="1" customWidth="1"/>
    <col min="47" max="47" width="10.140625" style="0" bestFit="1" customWidth="1"/>
  </cols>
  <sheetData>
    <row r="1" ht="12.75">
      <c r="AU1" s="37" t="s">
        <v>69</v>
      </c>
    </row>
    <row r="2" spans="1:47" ht="12.75">
      <c r="A2" s="138"/>
      <c r="AA2" s="37" t="s">
        <v>707</v>
      </c>
      <c r="AC2" s="47">
        <f>SUM(AC10:AC64)</f>
        <v>5587709.71</v>
      </c>
      <c r="AD2" s="47">
        <f>SUM(AD10:AD64)</f>
        <v>8848411.6</v>
      </c>
      <c r="AE2" s="47">
        <f>SUM(AE10:AE64)</f>
        <v>4665214.03</v>
      </c>
      <c r="AF2" s="47">
        <f>SUM(AF10:AF64)</f>
        <v>2497376.4800000004</v>
      </c>
      <c r="AG2" s="47">
        <f>SUM(AG10:AG64)</f>
        <v>104542.28000000001</v>
      </c>
      <c r="AH2" s="47">
        <f aca="true" t="shared" si="0" ref="AH2:AT2">SUM(AH10:AH98)</f>
        <v>415229.56</v>
      </c>
      <c r="AI2" s="47">
        <f t="shared" si="0"/>
        <v>562353.94</v>
      </c>
      <c r="AJ2" s="47">
        <f t="shared" si="0"/>
        <v>2500</v>
      </c>
      <c r="AK2" s="47">
        <f t="shared" si="0"/>
        <v>521549.1</v>
      </c>
      <c r="AL2" s="47">
        <f t="shared" si="0"/>
        <v>102511</v>
      </c>
      <c r="AM2" s="47">
        <f t="shared" si="0"/>
        <v>935733</v>
      </c>
      <c r="AN2" s="47">
        <f t="shared" si="0"/>
        <v>705273.6</v>
      </c>
      <c r="AO2" s="47">
        <f t="shared" si="0"/>
        <v>1494565.1</v>
      </c>
      <c r="AP2" s="47">
        <f t="shared" si="0"/>
        <v>338046.3</v>
      </c>
      <c r="AQ2" s="47">
        <f t="shared" si="0"/>
        <v>257731.5</v>
      </c>
      <c r="AR2" s="47">
        <f t="shared" si="0"/>
        <v>1015796</v>
      </c>
      <c r="AS2" s="47">
        <f t="shared" si="0"/>
        <v>277346</v>
      </c>
      <c r="AT2" s="47">
        <f t="shared" si="0"/>
        <v>327390.8</v>
      </c>
      <c r="AU2" s="47"/>
    </row>
    <row r="3" spans="1:47" ht="12.75">
      <c r="A3" s="138"/>
      <c r="AB3" s="47">
        <f>SUM(AB10:AB98)</f>
        <v>21814604.1</v>
      </c>
      <c r="AC3" s="47"/>
      <c r="AD3" s="47"/>
      <c r="AE3" s="47"/>
      <c r="AF3" s="47"/>
      <c r="AG3" s="47"/>
      <c r="AH3" s="47">
        <f>AH2+AI2</f>
        <v>977583.5</v>
      </c>
      <c r="AI3" s="47"/>
      <c r="AJ3" s="47">
        <f>AJ2+AK2+AL2+AM2</f>
        <v>1562293.1</v>
      </c>
      <c r="AK3" s="47"/>
      <c r="AL3" s="47"/>
      <c r="AM3" s="47"/>
      <c r="AN3" s="47"/>
      <c r="AO3" s="47"/>
      <c r="AP3" s="47"/>
      <c r="AQ3" s="47"/>
      <c r="AR3" s="47"/>
      <c r="AS3" s="47"/>
      <c r="AT3" s="47"/>
      <c r="AU3" s="47"/>
    </row>
    <row r="4" spans="1:47" ht="12.75">
      <c r="A4" s="138"/>
      <c r="AA4" s="37" t="s">
        <v>69</v>
      </c>
      <c r="AB4" s="47">
        <f>AB3</f>
        <v>21814604.1</v>
      </c>
      <c r="AC4" s="47"/>
      <c r="AD4" s="47"/>
      <c r="AE4" s="47"/>
      <c r="AF4" s="47"/>
      <c r="AG4" s="47"/>
      <c r="AH4" s="47">
        <f aca="true" t="shared" si="1" ref="AH4:AM4">AH2</f>
        <v>415229.56</v>
      </c>
      <c r="AI4" s="47">
        <f t="shared" si="1"/>
        <v>562353.94</v>
      </c>
      <c r="AJ4" s="47">
        <f t="shared" si="1"/>
        <v>2500</v>
      </c>
      <c r="AK4" s="47">
        <f t="shared" si="1"/>
        <v>521549.1</v>
      </c>
      <c r="AL4" s="47">
        <f t="shared" si="1"/>
        <v>102511</v>
      </c>
      <c r="AM4" s="47">
        <f t="shared" si="1"/>
        <v>935733</v>
      </c>
      <c r="AN4" s="47">
        <f>AN2</f>
        <v>705273.6</v>
      </c>
      <c r="AO4" s="47">
        <f aca="true" t="shared" si="2" ref="AO4:AT4">AO2</f>
        <v>1494565.1</v>
      </c>
      <c r="AP4" s="47">
        <f t="shared" si="2"/>
        <v>338046.3</v>
      </c>
      <c r="AQ4" s="47">
        <f t="shared" si="2"/>
        <v>257731.5</v>
      </c>
      <c r="AR4" s="47">
        <f t="shared" si="2"/>
        <v>1015796</v>
      </c>
      <c r="AS4" s="47">
        <f t="shared" si="2"/>
        <v>277346</v>
      </c>
      <c r="AT4" s="47">
        <f t="shared" si="2"/>
        <v>327390.8</v>
      </c>
      <c r="AU4" s="47">
        <f>SUM(AB4:AT4)</f>
        <v>28770630.000000007</v>
      </c>
    </row>
    <row r="5" spans="1:47" ht="12.75">
      <c r="A5" s="138"/>
      <c r="AA5" s="37" t="s">
        <v>708</v>
      </c>
      <c r="AB5" s="46">
        <f>AB4/$AU$4</f>
        <v>0.7582247625443028</v>
      </c>
      <c r="AC5" s="46"/>
      <c r="AD5" s="46"/>
      <c r="AE5" s="46"/>
      <c r="AF5" s="46"/>
      <c r="AG5" s="46"/>
      <c r="AH5" s="46">
        <f aca="true" t="shared" si="3" ref="AH5:AM5">AH4/$AU$4</f>
        <v>0.014432411108133534</v>
      </c>
      <c r="AI5" s="46">
        <f t="shared" si="3"/>
        <v>0.01954611143377812</v>
      </c>
      <c r="AJ5" s="46">
        <f t="shared" si="3"/>
        <v>8.689416950549917E-05</v>
      </c>
      <c r="AK5" s="46">
        <f t="shared" si="3"/>
        <v>0.018127830360336213</v>
      </c>
      <c r="AL5" s="46">
        <f t="shared" si="3"/>
        <v>0.00356304328407129</v>
      </c>
      <c r="AM5" s="46">
        <f t="shared" si="3"/>
        <v>0.0325238967655557</v>
      </c>
      <c r="AN5" s="46">
        <f aca="true" t="shared" si="4" ref="AN5:AT5">AN4/$AU$4</f>
        <v>0.024513665498461446</v>
      </c>
      <c r="AO5" s="46">
        <f t="shared" si="4"/>
        <v>0.05194759725456133</v>
      </c>
      <c r="AP5" s="46">
        <f t="shared" si="4"/>
        <v>0.011749700997162727</v>
      </c>
      <c r="AQ5" s="46">
        <f t="shared" si="4"/>
        <v>0.008958145859162624</v>
      </c>
      <c r="AR5" s="46">
        <f t="shared" si="4"/>
        <v>0.03530669992280321</v>
      </c>
      <c r="AS5" s="46">
        <f t="shared" si="4"/>
        <v>0.009639900134268868</v>
      </c>
      <c r="AT5" s="46">
        <f t="shared" si="4"/>
        <v>0.01137934066789639</v>
      </c>
      <c r="AU5" s="53"/>
    </row>
    <row r="6" spans="1:27" ht="12.75">
      <c r="A6" s="138"/>
      <c r="AA6" s="37"/>
    </row>
    <row r="7" spans="1:24" ht="18">
      <c r="A7" s="138" t="s">
        <v>661</v>
      </c>
      <c r="J7" s="454" t="s">
        <v>635</v>
      </c>
      <c r="K7" s="454"/>
      <c r="L7" s="454"/>
      <c r="M7" s="454"/>
      <c r="N7" s="454"/>
      <c r="O7" s="454"/>
      <c r="P7" s="454"/>
      <c r="Q7" s="454"/>
      <c r="R7" s="454"/>
      <c r="S7" s="454"/>
      <c r="T7" s="454"/>
      <c r="U7" s="454"/>
      <c r="V7" s="454"/>
      <c r="W7" s="454"/>
      <c r="X7" s="454"/>
    </row>
    <row r="8" spans="11:39" ht="12.75">
      <c r="K8" s="452" t="s">
        <v>395</v>
      </c>
      <c r="L8" s="452"/>
      <c r="M8" s="452" t="s">
        <v>637</v>
      </c>
      <c r="N8" s="452"/>
      <c r="O8" s="452"/>
      <c r="P8" s="452"/>
      <c r="Q8" s="452"/>
      <c r="AH8" s="452"/>
      <c r="AI8" s="452"/>
      <c r="AJ8" s="452"/>
      <c r="AK8" s="452"/>
      <c r="AL8" s="452"/>
      <c r="AM8" s="452"/>
    </row>
    <row r="9" spans="2:46" ht="12.75">
      <c r="B9" s="21" t="s">
        <v>634</v>
      </c>
      <c r="C9" s="20" t="s">
        <v>636</v>
      </c>
      <c r="D9" s="20" t="s">
        <v>1041</v>
      </c>
      <c r="E9" s="20" t="s">
        <v>1042</v>
      </c>
      <c r="F9" s="20" t="s">
        <v>1043</v>
      </c>
      <c r="G9" s="20" t="s">
        <v>1044</v>
      </c>
      <c r="H9" s="20" t="s">
        <v>639</v>
      </c>
      <c r="I9" s="20" t="s">
        <v>1045</v>
      </c>
      <c r="J9" s="20" t="s">
        <v>394</v>
      </c>
      <c r="K9" s="20" t="s">
        <v>646</v>
      </c>
      <c r="L9" s="20" t="s">
        <v>647</v>
      </c>
      <c r="M9" s="20" t="s">
        <v>648</v>
      </c>
      <c r="N9" s="20" t="s">
        <v>696</v>
      </c>
      <c r="O9" s="20" t="s">
        <v>641</v>
      </c>
      <c r="P9" s="20" t="s">
        <v>654</v>
      </c>
      <c r="Q9" s="20" t="s">
        <v>642</v>
      </c>
      <c r="R9" s="20" t="s">
        <v>399</v>
      </c>
      <c r="S9" s="20" t="s">
        <v>400</v>
      </c>
      <c r="T9" s="20" t="s">
        <v>643</v>
      </c>
      <c r="U9" s="20" t="s">
        <v>638</v>
      </c>
      <c r="V9" s="20" t="s">
        <v>651</v>
      </c>
      <c r="W9" s="20" t="s">
        <v>670</v>
      </c>
      <c r="X9" s="20" t="s">
        <v>639</v>
      </c>
      <c r="Y9" s="20"/>
      <c r="Z9" s="20" t="s">
        <v>69</v>
      </c>
      <c r="AB9" s="20" t="s">
        <v>394</v>
      </c>
      <c r="AC9" s="20" t="s">
        <v>1041</v>
      </c>
      <c r="AD9" s="20" t="s">
        <v>1042</v>
      </c>
      <c r="AE9" s="20" t="s">
        <v>1043</v>
      </c>
      <c r="AF9" s="20" t="s">
        <v>1044</v>
      </c>
      <c r="AG9" s="20" t="s">
        <v>639</v>
      </c>
      <c r="AH9" s="20" t="s">
        <v>646</v>
      </c>
      <c r="AI9" s="20" t="s">
        <v>647</v>
      </c>
      <c r="AJ9" s="20" t="s">
        <v>696</v>
      </c>
      <c r="AK9" s="20" t="s">
        <v>641</v>
      </c>
      <c r="AL9" s="20" t="s">
        <v>654</v>
      </c>
      <c r="AM9" s="20" t="s">
        <v>642</v>
      </c>
      <c r="AN9" s="20" t="s">
        <v>399</v>
      </c>
      <c r="AO9" s="20" t="s">
        <v>400</v>
      </c>
      <c r="AP9" s="20" t="s">
        <v>643</v>
      </c>
      <c r="AQ9" s="20" t="s">
        <v>638</v>
      </c>
      <c r="AR9" s="20" t="s">
        <v>651</v>
      </c>
      <c r="AS9" s="20" t="s">
        <v>670</v>
      </c>
      <c r="AT9" s="20" t="s">
        <v>639</v>
      </c>
    </row>
    <row r="10" spans="2:46" ht="12.75">
      <c r="B10" t="s">
        <v>640</v>
      </c>
      <c r="C10">
        <v>3836100</v>
      </c>
      <c r="D10" s="53">
        <v>0.35</v>
      </c>
      <c r="E10" s="53">
        <v>0.55</v>
      </c>
      <c r="F10" s="53"/>
      <c r="G10" s="53">
        <v>0.1</v>
      </c>
      <c r="H10" s="53"/>
      <c r="I10" s="53">
        <f>SUM(D10:H10)</f>
        <v>1</v>
      </c>
      <c r="J10" s="46">
        <v>0.79</v>
      </c>
      <c r="K10" s="46"/>
      <c r="L10" s="46">
        <v>0.02</v>
      </c>
      <c r="M10" s="46"/>
      <c r="N10" s="46"/>
      <c r="O10" s="46">
        <f>0.05*0.1</f>
        <v>0.005000000000000001</v>
      </c>
      <c r="P10" s="46"/>
      <c r="Q10" s="46">
        <f>0.05*0.9</f>
        <v>0.045000000000000005</v>
      </c>
      <c r="R10" s="46">
        <v>0.02</v>
      </c>
      <c r="S10" s="46">
        <v>0.09</v>
      </c>
      <c r="T10" s="46">
        <v>0.01</v>
      </c>
      <c r="U10" s="46">
        <v>0.01</v>
      </c>
      <c r="V10" s="46"/>
      <c r="W10" s="46"/>
      <c r="X10" s="46">
        <v>0.01</v>
      </c>
      <c r="Z10" s="53">
        <f aca="true" t="shared" si="5" ref="Z10:Z41">SUM(J10:X10)</f>
        <v>1</v>
      </c>
      <c r="AB10" s="45">
        <f aca="true" t="shared" si="6" ref="AB10:AB41">$C10*J10</f>
        <v>3030519</v>
      </c>
      <c r="AC10" s="45">
        <f>D10*$J10*$C10</f>
        <v>1060681.65</v>
      </c>
      <c r="AD10" s="45">
        <f>E10*$J10*$C10</f>
        <v>1666785.4500000002</v>
      </c>
      <c r="AE10" s="45">
        <f>F10*$J10*$C10</f>
        <v>0</v>
      </c>
      <c r="AF10" s="45">
        <f>G10*$J10*$C10</f>
        <v>303051.9000000001</v>
      </c>
      <c r="AG10" s="45">
        <f>H10*$J10*$C10</f>
        <v>0</v>
      </c>
      <c r="AH10" s="45">
        <f>$C10*K10</f>
        <v>0</v>
      </c>
      <c r="AI10" s="45">
        <f>$C10*L10</f>
        <v>76722</v>
      </c>
      <c r="AJ10" s="45">
        <f aca="true" t="shared" si="7" ref="AJ10:AJ41">$C10*N10</f>
        <v>0</v>
      </c>
      <c r="AK10" s="45">
        <f aca="true" t="shared" si="8" ref="AK10:AK41">$C10*O10</f>
        <v>19180.500000000004</v>
      </c>
      <c r="AL10" s="45">
        <f aca="true" t="shared" si="9" ref="AL10:AL41">$C10*P10</f>
        <v>0</v>
      </c>
      <c r="AM10" s="45">
        <f aca="true" t="shared" si="10" ref="AM10:AM41">$C10*Q10</f>
        <v>172624.50000000003</v>
      </c>
      <c r="AN10" s="45">
        <f aca="true" t="shared" si="11" ref="AN10:AN41">$C10*R10</f>
        <v>76722</v>
      </c>
      <c r="AO10" s="45">
        <f aca="true" t="shared" si="12" ref="AO10:AO41">$C10*S10</f>
        <v>345249</v>
      </c>
      <c r="AP10" s="45">
        <f aca="true" t="shared" si="13" ref="AP10:AP41">$C10*T10</f>
        <v>38361</v>
      </c>
      <c r="AQ10" s="45">
        <f aca="true" t="shared" si="14" ref="AQ10:AQ41">$C10*U10</f>
        <v>38361</v>
      </c>
      <c r="AR10" s="45">
        <f aca="true" t="shared" si="15" ref="AR10:AR41">$C10*V10</f>
        <v>0</v>
      </c>
      <c r="AS10" s="45">
        <f aca="true" t="shared" si="16" ref="AS10:AS41">$C10*W10</f>
        <v>0</v>
      </c>
      <c r="AT10" s="45">
        <f aca="true" t="shared" si="17" ref="AT10:AT41">$C10*X10</f>
        <v>38361</v>
      </c>
    </row>
    <row r="11" spans="2:46" ht="12.75">
      <c r="B11" s="37" t="s">
        <v>644</v>
      </c>
      <c r="C11">
        <v>475200</v>
      </c>
      <c r="D11" s="53">
        <v>0.2</v>
      </c>
      <c r="E11" s="53">
        <v>0.4</v>
      </c>
      <c r="F11" s="53">
        <v>0.1</v>
      </c>
      <c r="G11" s="53">
        <v>0.3</v>
      </c>
      <c r="H11" s="53"/>
      <c r="I11" s="53">
        <f aca="true" t="shared" si="18" ref="I11:I64">SUM(D11:H11)</f>
        <v>1</v>
      </c>
      <c r="J11" s="46">
        <v>0.79</v>
      </c>
      <c r="K11" s="46"/>
      <c r="L11" s="46">
        <v>0.01</v>
      </c>
      <c r="M11" s="46"/>
      <c r="N11" s="46"/>
      <c r="O11" s="46">
        <v>0.015</v>
      </c>
      <c r="P11" s="46"/>
      <c r="Q11" s="46">
        <v>0.015</v>
      </c>
      <c r="R11" s="46">
        <v>0.02</v>
      </c>
      <c r="S11" s="46">
        <v>0.05</v>
      </c>
      <c r="T11" s="46">
        <v>0.01</v>
      </c>
      <c r="U11" s="46">
        <v>0.09</v>
      </c>
      <c r="V11" s="46"/>
      <c r="W11" s="46"/>
      <c r="X11" s="46">
        <v>0</v>
      </c>
      <c r="Z11" s="53">
        <f t="shared" si="5"/>
        <v>1.0000000000000002</v>
      </c>
      <c r="AB11" s="45">
        <f t="shared" si="6"/>
        <v>375408</v>
      </c>
      <c r="AC11" s="45">
        <f aca="true" t="shared" si="19" ref="AC11:AC64">D11*$J11*$C11</f>
        <v>75081.60000000002</v>
      </c>
      <c r="AD11" s="45">
        <f aca="true" t="shared" si="20" ref="AD11:AD64">E11*$J11*$C11</f>
        <v>150163.20000000004</v>
      </c>
      <c r="AE11" s="45">
        <f aca="true" t="shared" si="21" ref="AE11:AE64">F11*$J11*$C11</f>
        <v>37540.80000000001</v>
      </c>
      <c r="AF11" s="45">
        <f aca="true" t="shared" si="22" ref="AF11:AF64">G11*$J11*$C11</f>
        <v>112622.4</v>
      </c>
      <c r="AG11" s="45">
        <f aca="true" t="shared" si="23" ref="AG11:AG64">H11*$J11*$C11</f>
        <v>0</v>
      </c>
      <c r="AH11" s="45">
        <f aca="true" t="shared" si="24" ref="AH11:AH73">$C11*K11</f>
        <v>0</v>
      </c>
      <c r="AI11" s="45">
        <f aca="true" t="shared" si="25" ref="AI11:AI73">$C11*L11</f>
        <v>4752</v>
      </c>
      <c r="AJ11" s="45">
        <f t="shared" si="7"/>
        <v>0</v>
      </c>
      <c r="AK11" s="45">
        <f t="shared" si="8"/>
        <v>7128</v>
      </c>
      <c r="AL11" s="45">
        <f t="shared" si="9"/>
        <v>0</v>
      </c>
      <c r="AM11" s="45">
        <f t="shared" si="10"/>
        <v>7128</v>
      </c>
      <c r="AN11" s="45">
        <f t="shared" si="11"/>
        <v>9504</v>
      </c>
      <c r="AO11" s="45">
        <f t="shared" si="12"/>
        <v>23760</v>
      </c>
      <c r="AP11" s="45">
        <f t="shared" si="13"/>
        <v>4752</v>
      </c>
      <c r="AQ11" s="45">
        <f t="shared" si="14"/>
        <v>42768</v>
      </c>
      <c r="AR11" s="45">
        <f t="shared" si="15"/>
        <v>0</v>
      </c>
      <c r="AS11" s="45">
        <f t="shared" si="16"/>
        <v>0</v>
      </c>
      <c r="AT11" s="45">
        <f t="shared" si="17"/>
        <v>0</v>
      </c>
    </row>
    <row r="12" spans="2:46" ht="12.75">
      <c r="B12" s="37" t="s">
        <v>645</v>
      </c>
      <c r="C12">
        <v>123880</v>
      </c>
      <c r="D12" s="53">
        <v>0.35</v>
      </c>
      <c r="E12" s="53">
        <v>0.45</v>
      </c>
      <c r="F12" s="53">
        <v>0.2</v>
      </c>
      <c r="G12" s="53"/>
      <c r="H12" s="53"/>
      <c r="I12" s="53">
        <f t="shared" si="18"/>
        <v>1</v>
      </c>
      <c r="J12" s="46">
        <v>0.82</v>
      </c>
      <c r="K12" s="46">
        <v>0.057</v>
      </c>
      <c r="L12" s="46">
        <v>0.043</v>
      </c>
      <c r="M12" s="46"/>
      <c r="N12" s="46"/>
      <c r="O12" s="46"/>
      <c r="P12" s="46"/>
      <c r="Q12" s="46">
        <v>0.02</v>
      </c>
      <c r="R12" s="46">
        <v>0.02</v>
      </c>
      <c r="S12" s="46">
        <v>0.02</v>
      </c>
      <c r="T12" s="46">
        <v>0.01</v>
      </c>
      <c r="U12" s="46"/>
      <c r="V12" s="46"/>
      <c r="W12" s="46"/>
      <c r="X12" s="46">
        <v>0.01</v>
      </c>
      <c r="Z12" s="53">
        <f t="shared" si="5"/>
        <v>1</v>
      </c>
      <c r="AB12" s="45">
        <f t="shared" si="6"/>
        <v>101581.59999999999</v>
      </c>
      <c r="AC12" s="45">
        <f t="shared" si="19"/>
        <v>35553.56</v>
      </c>
      <c r="AD12" s="45">
        <f t="shared" si="20"/>
        <v>45711.72</v>
      </c>
      <c r="AE12" s="45">
        <f t="shared" si="21"/>
        <v>20316.32</v>
      </c>
      <c r="AF12" s="45">
        <f t="shared" si="22"/>
        <v>0</v>
      </c>
      <c r="AG12" s="45">
        <f t="shared" si="23"/>
        <v>0</v>
      </c>
      <c r="AH12" s="45">
        <f t="shared" si="24"/>
        <v>7061.16</v>
      </c>
      <c r="AI12" s="45">
        <f t="shared" si="25"/>
        <v>5326.839999999999</v>
      </c>
      <c r="AJ12" s="45">
        <f t="shared" si="7"/>
        <v>0</v>
      </c>
      <c r="AK12" s="45">
        <f t="shared" si="8"/>
        <v>0</v>
      </c>
      <c r="AL12" s="45">
        <f t="shared" si="9"/>
        <v>0</v>
      </c>
      <c r="AM12" s="45">
        <f t="shared" si="10"/>
        <v>2477.6</v>
      </c>
      <c r="AN12" s="45">
        <f t="shared" si="11"/>
        <v>2477.6</v>
      </c>
      <c r="AO12" s="45">
        <f t="shared" si="12"/>
        <v>2477.6</v>
      </c>
      <c r="AP12" s="45">
        <f t="shared" si="13"/>
        <v>1238.8</v>
      </c>
      <c r="AQ12" s="45">
        <f t="shared" si="14"/>
        <v>0</v>
      </c>
      <c r="AR12" s="45">
        <f t="shared" si="15"/>
        <v>0</v>
      </c>
      <c r="AS12" s="45">
        <f t="shared" si="16"/>
        <v>0</v>
      </c>
      <c r="AT12" s="45">
        <f t="shared" si="17"/>
        <v>1238.8</v>
      </c>
    </row>
    <row r="13" spans="2:46" ht="12.75">
      <c r="B13" s="37" t="s">
        <v>649</v>
      </c>
      <c r="C13">
        <v>110000</v>
      </c>
      <c r="D13" s="53">
        <v>0.12</v>
      </c>
      <c r="E13" s="53">
        <v>0.3</v>
      </c>
      <c r="F13" s="53">
        <v>0.08</v>
      </c>
      <c r="G13" s="53">
        <v>0.5</v>
      </c>
      <c r="H13" s="53"/>
      <c r="I13" s="53">
        <f t="shared" si="18"/>
        <v>1</v>
      </c>
      <c r="J13" s="46">
        <v>0.37</v>
      </c>
      <c r="K13" s="46"/>
      <c r="L13" s="46"/>
      <c r="M13" s="46"/>
      <c r="N13" s="46"/>
      <c r="O13" s="46">
        <v>0.05</v>
      </c>
      <c r="P13" s="46"/>
      <c r="Q13" s="46">
        <v>0.05</v>
      </c>
      <c r="R13" s="46">
        <v>0.07</v>
      </c>
      <c r="S13" s="46">
        <v>0.18</v>
      </c>
      <c r="T13" s="46">
        <v>0.02</v>
      </c>
      <c r="U13" s="46">
        <v>0.05</v>
      </c>
      <c r="V13" s="46">
        <v>0.2</v>
      </c>
      <c r="W13" s="46"/>
      <c r="X13" s="46">
        <v>0.01</v>
      </c>
      <c r="Z13" s="53">
        <f t="shared" si="5"/>
        <v>1</v>
      </c>
      <c r="AB13" s="45">
        <f t="shared" si="6"/>
        <v>40700</v>
      </c>
      <c r="AC13" s="45">
        <f t="shared" si="19"/>
        <v>4883.999999999999</v>
      </c>
      <c r="AD13" s="45">
        <f t="shared" si="20"/>
        <v>12210</v>
      </c>
      <c r="AE13" s="45">
        <f t="shared" si="21"/>
        <v>3256</v>
      </c>
      <c r="AF13" s="45">
        <f t="shared" si="22"/>
        <v>20350</v>
      </c>
      <c r="AG13" s="45">
        <f t="shared" si="23"/>
        <v>0</v>
      </c>
      <c r="AH13" s="45">
        <f t="shared" si="24"/>
        <v>0</v>
      </c>
      <c r="AI13" s="45">
        <f t="shared" si="25"/>
        <v>0</v>
      </c>
      <c r="AJ13" s="45">
        <f t="shared" si="7"/>
        <v>0</v>
      </c>
      <c r="AK13" s="45">
        <f t="shared" si="8"/>
        <v>5500</v>
      </c>
      <c r="AL13" s="45">
        <f t="shared" si="9"/>
        <v>0</v>
      </c>
      <c r="AM13" s="45">
        <f t="shared" si="10"/>
        <v>5500</v>
      </c>
      <c r="AN13" s="45">
        <f t="shared" si="11"/>
        <v>7700.000000000001</v>
      </c>
      <c r="AO13" s="45">
        <f t="shared" si="12"/>
        <v>19800</v>
      </c>
      <c r="AP13" s="45">
        <f t="shared" si="13"/>
        <v>2200</v>
      </c>
      <c r="AQ13" s="45">
        <f t="shared" si="14"/>
        <v>5500</v>
      </c>
      <c r="AR13" s="45">
        <f t="shared" si="15"/>
        <v>22000</v>
      </c>
      <c r="AS13" s="45">
        <f t="shared" si="16"/>
        <v>0</v>
      </c>
      <c r="AT13" s="45">
        <f t="shared" si="17"/>
        <v>1100</v>
      </c>
    </row>
    <row r="14" spans="2:46" ht="12.75">
      <c r="B14" s="37" t="s">
        <v>650</v>
      </c>
      <c r="C14">
        <v>310000</v>
      </c>
      <c r="D14" s="53">
        <v>0.12</v>
      </c>
      <c r="E14" s="53">
        <v>0.8</v>
      </c>
      <c r="F14" s="53"/>
      <c r="G14" s="53">
        <v>0.08</v>
      </c>
      <c r="H14" s="53"/>
      <c r="I14" s="53">
        <f t="shared" si="18"/>
        <v>1</v>
      </c>
      <c r="J14" s="46">
        <v>0.37</v>
      </c>
      <c r="K14" s="46"/>
      <c r="L14" s="46">
        <v>0.01</v>
      </c>
      <c r="M14" s="46"/>
      <c r="N14" s="46"/>
      <c r="O14" s="46">
        <v>0.035</v>
      </c>
      <c r="P14" s="46"/>
      <c r="Q14" s="46">
        <v>0.035</v>
      </c>
      <c r="R14" s="46">
        <v>0.1</v>
      </c>
      <c r="S14" s="46">
        <v>0.18</v>
      </c>
      <c r="T14" s="46">
        <v>0.03</v>
      </c>
      <c r="U14" s="46">
        <v>0.04</v>
      </c>
      <c r="V14" s="46">
        <v>0.2</v>
      </c>
      <c r="W14" s="46"/>
      <c r="X14" s="46"/>
      <c r="Z14" s="53">
        <f t="shared" si="5"/>
        <v>1</v>
      </c>
      <c r="AB14" s="45">
        <f t="shared" si="6"/>
        <v>114700</v>
      </c>
      <c r="AC14" s="45">
        <f t="shared" si="19"/>
        <v>13763.999999999998</v>
      </c>
      <c r="AD14" s="45">
        <f t="shared" si="20"/>
        <v>91760</v>
      </c>
      <c r="AE14" s="45">
        <f t="shared" si="21"/>
        <v>0</v>
      </c>
      <c r="AF14" s="45">
        <f t="shared" si="22"/>
        <v>9176</v>
      </c>
      <c r="AG14" s="45">
        <f t="shared" si="23"/>
        <v>0</v>
      </c>
      <c r="AH14" s="45">
        <f t="shared" si="24"/>
        <v>0</v>
      </c>
      <c r="AI14" s="45">
        <f t="shared" si="25"/>
        <v>3100</v>
      </c>
      <c r="AJ14" s="45">
        <f t="shared" si="7"/>
        <v>0</v>
      </c>
      <c r="AK14" s="45">
        <f t="shared" si="8"/>
        <v>10850.000000000002</v>
      </c>
      <c r="AL14" s="45">
        <f t="shared" si="9"/>
        <v>0</v>
      </c>
      <c r="AM14" s="45">
        <f t="shared" si="10"/>
        <v>10850.000000000002</v>
      </c>
      <c r="AN14" s="45">
        <f t="shared" si="11"/>
        <v>31000</v>
      </c>
      <c r="AO14" s="45">
        <f t="shared" si="12"/>
        <v>55800</v>
      </c>
      <c r="AP14" s="45">
        <f t="shared" si="13"/>
        <v>9300</v>
      </c>
      <c r="AQ14" s="45">
        <f t="shared" si="14"/>
        <v>12400</v>
      </c>
      <c r="AR14" s="45">
        <f t="shared" si="15"/>
        <v>62000</v>
      </c>
      <c r="AS14" s="45">
        <f t="shared" si="16"/>
        <v>0</v>
      </c>
      <c r="AT14" s="45">
        <f t="shared" si="17"/>
        <v>0</v>
      </c>
    </row>
    <row r="15" spans="2:46" ht="12.75">
      <c r="B15" s="37" t="s">
        <v>652</v>
      </c>
      <c r="C15">
        <v>26500</v>
      </c>
      <c r="D15" s="53">
        <v>0.15</v>
      </c>
      <c r="E15" s="53">
        <v>0.1</v>
      </c>
      <c r="F15" s="53">
        <v>0.05</v>
      </c>
      <c r="G15" s="53">
        <v>0.7</v>
      </c>
      <c r="H15" s="53"/>
      <c r="I15" s="53">
        <f t="shared" si="18"/>
        <v>1</v>
      </c>
      <c r="J15" s="46">
        <v>0.79</v>
      </c>
      <c r="K15" s="46"/>
      <c r="L15" s="46">
        <v>0.2</v>
      </c>
      <c r="M15" s="46"/>
      <c r="N15" s="46"/>
      <c r="O15" s="46"/>
      <c r="P15" s="46"/>
      <c r="Q15" s="46"/>
      <c r="R15" s="46"/>
      <c r="S15" s="46"/>
      <c r="T15" s="46"/>
      <c r="U15" s="46"/>
      <c r="V15" s="46"/>
      <c r="W15" s="46"/>
      <c r="X15" s="46">
        <v>0.01</v>
      </c>
      <c r="Z15" s="53">
        <f t="shared" si="5"/>
        <v>1</v>
      </c>
      <c r="AB15" s="45">
        <f t="shared" si="6"/>
        <v>20935</v>
      </c>
      <c r="AC15" s="45">
        <f t="shared" si="19"/>
        <v>3140.25</v>
      </c>
      <c r="AD15" s="45">
        <f t="shared" si="20"/>
        <v>2093.5000000000005</v>
      </c>
      <c r="AE15" s="45">
        <f t="shared" si="21"/>
        <v>1046.7500000000002</v>
      </c>
      <c r="AF15" s="45">
        <f t="shared" si="22"/>
        <v>14654.499999999998</v>
      </c>
      <c r="AG15" s="45">
        <f t="shared" si="23"/>
        <v>0</v>
      </c>
      <c r="AH15" s="45">
        <f t="shared" si="24"/>
        <v>0</v>
      </c>
      <c r="AI15" s="45">
        <f t="shared" si="25"/>
        <v>5300</v>
      </c>
      <c r="AJ15" s="45">
        <f t="shared" si="7"/>
        <v>0</v>
      </c>
      <c r="AK15" s="45">
        <f t="shared" si="8"/>
        <v>0</v>
      </c>
      <c r="AL15" s="45">
        <f t="shared" si="9"/>
        <v>0</v>
      </c>
      <c r="AM15" s="45">
        <f t="shared" si="10"/>
        <v>0</v>
      </c>
      <c r="AN15" s="45">
        <f t="shared" si="11"/>
        <v>0</v>
      </c>
      <c r="AO15" s="45">
        <f t="shared" si="12"/>
        <v>0</v>
      </c>
      <c r="AP15" s="45">
        <f t="shared" si="13"/>
        <v>0</v>
      </c>
      <c r="AQ15" s="45">
        <f t="shared" si="14"/>
        <v>0</v>
      </c>
      <c r="AR15" s="45">
        <f t="shared" si="15"/>
        <v>0</v>
      </c>
      <c r="AS15" s="45">
        <f t="shared" si="16"/>
        <v>0</v>
      </c>
      <c r="AT15" s="45">
        <f t="shared" si="17"/>
        <v>265</v>
      </c>
    </row>
    <row r="16" spans="2:46" ht="12.75">
      <c r="B16" s="37" t="s">
        <v>653</v>
      </c>
      <c r="C16">
        <v>140000</v>
      </c>
      <c r="D16" s="53">
        <v>0.8</v>
      </c>
      <c r="E16" s="53">
        <v>0.12</v>
      </c>
      <c r="F16" s="53"/>
      <c r="G16" s="53">
        <v>0.08</v>
      </c>
      <c r="H16" s="53"/>
      <c r="I16" s="53">
        <f t="shared" si="18"/>
        <v>1</v>
      </c>
      <c r="J16" s="46">
        <v>0.09</v>
      </c>
      <c r="K16" s="46"/>
      <c r="L16" s="46"/>
      <c r="M16" s="46"/>
      <c r="N16" s="46"/>
      <c r="O16" s="46"/>
      <c r="P16" s="46">
        <f>0.79*0.55</f>
        <v>0.43450000000000005</v>
      </c>
      <c r="Q16" s="46">
        <f>0.79*0.45</f>
        <v>0.35550000000000004</v>
      </c>
      <c r="R16" s="46">
        <v>0.03</v>
      </c>
      <c r="S16" s="46">
        <v>0.02</v>
      </c>
      <c r="T16" s="46">
        <v>0.05</v>
      </c>
      <c r="U16" s="46"/>
      <c r="V16" s="46"/>
      <c r="W16" s="46"/>
      <c r="X16" s="46">
        <v>0.02</v>
      </c>
      <c r="Z16" s="53">
        <f t="shared" si="5"/>
        <v>1.0000000000000002</v>
      </c>
      <c r="AB16" s="45">
        <f t="shared" si="6"/>
        <v>12600</v>
      </c>
      <c r="AC16" s="45">
        <f t="shared" si="19"/>
        <v>10080</v>
      </c>
      <c r="AD16" s="45">
        <f t="shared" si="20"/>
        <v>1511.9999999999998</v>
      </c>
      <c r="AE16" s="45">
        <f t="shared" si="21"/>
        <v>0</v>
      </c>
      <c r="AF16" s="45">
        <f t="shared" si="22"/>
        <v>1008</v>
      </c>
      <c r="AG16" s="45">
        <f t="shared" si="23"/>
        <v>0</v>
      </c>
      <c r="AH16" s="45">
        <f t="shared" si="24"/>
        <v>0</v>
      </c>
      <c r="AI16" s="45">
        <f t="shared" si="25"/>
        <v>0</v>
      </c>
      <c r="AJ16" s="45">
        <f t="shared" si="7"/>
        <v>0</v>
      </c>
      <c r="AK16" s="45">
        <f t="shared" si="8"/>
        <v>0</v>
      </c>
      <c r="AL16" s="45">
        <f t="shared" si="9"/>
        <v>60830.00000000001</v>
      </c>
      <c r="AM16" s="45">
        <f t="shared" si="10"/>
        <v>49770.00000000001</v>
      </c>
      <c r="AN16" s="45">
        <f t="shared" si="11"/>
        <v>4200</v>
      </c>
      <c r="AO16" s="45">
        <f t="shared" si="12"/>
        <v>2800</v>
      </c>
      <c r="AP16" s="45">
        <f t="shared" si="13"/>
        <v>7000</v>
      </c>
      <c r="AQ16" s="45">
        <f t="shared" si="14"/>
        <v>0</v>
      </c>
      <c r="AR16" s="45">
        <f t="shared" si="15"/>
        <v>0</v>
      </c>
      <c r="AS16" s="45">
        <f t="shared" si="16"/>
        <v>0</v>
      </c>
      <c r="AT16" s="45">
        <f t="shared" si="17"/>
        <v>2800</v>
      </c>
    </row>
    <row r="17" spans="2:46" ht="12.75">
      <c r="B17" s="37" t="s">
        <v>655</v>
      </c>
      <c r="C17">
        <v>128000</v>
      </c>
      <c r="D17" s="53">
        <v>0.12</v>
      </c>
      <c r="E17" s="53">
        <v>0.7</v>
      </c>
      <c r="F17" s="53">
        <v>0.06</v>
      </c>
      <c r="G17" s="53">
        <v>0.08</v>
      </c>
      <c r="H17" s="53">
        <v>0.04</v>
      </c>
      <c r="I17" s="53">
        <f t="shared" si="18"/>
        <v>0.9999999999999999</v>
      </c>
      <c r="J17" s="46">
        <v>0.79</v>
      </c>
      <c r="K17" s="46"/>
      <c r="L17" s="46">
        <v>0.02</v>
      </c>
      <c r="M17" s="46"/>
      <c r="N17" s="46"/>
      <c r="O17" s="46">
        <v>0.015</v>
      </c>
      <c r="P17" s="46"/>
      <c r="Q17" s="46">
        <v>0.015</v>
      </c>
      <c r="R17" s="46">
        <v>0.08</v>
      </c>
      <c r="S17" s="46">
        <v>0.06</v>
      </c>
      <c r="T17" s="46">
        <v>0.01</v>
      </c>
      <c r="U17" s="46">
        <v>0.01</v>
      </c>
      <c r="V17" s="46"/>
      <c r="W17" s="46"/>
      <c r="X17" s="46"/>
      <c r="Z17" s="53">
        <f t="shared" si="5"/>
        <v>1</v>
      </c>
      <c r="AB17" s="45">
        <f t="shared" si="6"/>
        <v>101120</v>
      </c>
      <c r="AC17" s="45">
        <f t="shared" si="19"/>
        <v>12134.4</v>
      </c>
      <c r="AD17" s="45">
        <f t="shared" si="20"/>
        <v>70783.99999999999</v>
      </c>
      <c r="AE17" s="45">
        <f t="shared" si="21"/>
        <v>6067.2</v>
      </c>
      <c r="AF17" s="45">
        <f t="shared" si="22"/>
        <v>8089.6</v>
      </c>
      <c r="AG17" s="45">
        <f t="shared" si="23"/>
        <v>4044.8</v>
      </c>
      <c r="AH17" s="45">
        <f t="shared" si="24"/>
        <v>0</v>
      </c>
      <c r="AI17" s="45">
        <f t="shared" si="25"/>
        <v>2560</v>
      </c>
      <c r="AJ17" s="45">
        <f t="shared" si="7"/>
        <v>0</v>
      </c>
      <c r="AK17" s="45">
        <f t="shared" si="8"/>
        <v>1920</v>
      </c>
      <c r="AL17" s="45">
        <f t="shared" si="9"/>
        <v>0</v>
      </c>
      <c r="AM17" s="45">
        <f t="shared" si="10"/>
        <v>1920</v>
      </c>
      <c r="AN17" s="45">
        <f t="shared" si="11"/>
        <v>10240</v>
      </c>
      <c r="AO17" s="45">
        <f t="shared" si="12"/>
        <v>7680</v>
      </c>
      <c r="AP17" s="45">
        <f t="shared" si="13"/>
        <v>1280</v>
      </c>
      <c r="AQ17" s="45">
        <f t="shared" si="14"/>
        <v>1280</v>
      </c>
      <c r="AR17" s="45">
        <f t="shared" si="15"/>
        <v>0</v>
      </c>
      <c r="AS17" s="45">
        <f t="shared" si="16"/>
        <v>0</v>
      </c>
      <c r="AT17" s="45">
        <f t="shared" si="17"/>
        <v>0</v>
      </c>
    </row>
    <row r="18" spans="2:46" ht="12.75">
      <c r="B18" s="37" t="s">
        <v>656</v>
      </c>
      <c r="C18">
        <v>1960000</v>
      </c>
      <c r="D18" s="53"/>
      <c r="E18" s="53"/>
      <c r="F18" s="53">
        <v>1</v>
      </c>
      <c r="G18" s="53"/>
      <c r="H18" s="53"/>
      <c r="I18" s="53">
        <f t="shared" si="18"/>
        <v>1</v>
      </c>
      <c r="J18" s="46">
        <v>0.96</v>
      </c>
      <c r="K18" s="46"/>
      <c r="L18" s="46"/>
      <c r="M18" s="46"/>
      <c r="N18" s="46"/>
      <c r="O18" s="46">
        <v>0.005</v>
      </c>
      <c r="P18" s="46"/>
      <c r="Q18" s="46">
        <v>0.005</v>
      </c>
      <c r="R18" s="46"/>
      <c r="S18" s="46">
        <v>0.02</v>
      </c>
      <c r="T18" s="46"/>
      <c r="U18" s="46"/>
      <c r="V18" s="46"/>
      <c r="W18" s="46"/>
      <c r="X18" s="46">
        <v>0.01</v>
      </c>
      <c r="Z18" s="53">
        <f t="shared" si="5"/>
        <v>1</v>
      </c>
      <c r="AB18" s="45">
        <f t="shared" si="6"/>
        <v>1881600</v>
      </c>
      <c r="AC18" s="45">
        <f t="shared" si="19"/>
        <v>0</v>
      </c>
      <c r="AD18" s="45">
        <f t="shared" si="20"/>
        <v>0</v>
      </c>
      <c r="AE18" s="45">
        <f t="shared" si="21"/>
        <v>1881600</v>
      </c>
      <c r="AF18" s="45">
        <f t="shared" si="22"/>
        <v>0</v>
      </c>
      <c r="AG18" s="45">
        <f t="shared" si="23"/>
        <v>0</v>
      </c>
      <c r="AH18" s="45">
        <f t="shared" si="24"/>
        <v>0</v>
      </c>
      <c r="AI18" s="45">
        <f t="shared" si="25"/>
        <v>0</v>
      </c>
      <c r="AJ18" s="45">
        <f t="shared" si="7"/>
        <v>0</v>
      </c>
      <c r="AK18" s="45">
        <f t="shared" si="8"/>
        <v>9800</v>
      </c>
      <c r="AL18" s="45">
        <f t="shared" si="9"/>
        <v>0</v>
      </c>
      <c r="AM18" s="45">
        <f t="shared" si="10"/>
        <v>9800</v>
      </c>
      <c r="AN18" s="45">
        <f t="shared" si="11"/>
        <v>0</v>
      </c>
      <c r="AO18" s="45">
        <f t="shared" si="12"/>
        <v>39200</v>
      </c>
      <c r="AP18" s="45">
        <f t="shared" si="13"/>
        <v>0</v>
      </c>
      <c r="AQ18" s="45">
        <f t="shared" si="14"/>
        <v>0</v>
      </c>
      <c r="AR18" s="45">
        <f t="shared" si="15"/>
        <v>0</v>
      </c>
      <c r="AS18" s="45">
        <f t="shared" si="16"/>
        <v>0</v>
      </c>
      <c r="AT18" s="45">
        <f t="shared" si="17"/>
        <v>19600</v>
      </c>
    </row>
    <row r="19" spans="2:46" ht="12.75">
      <c r="B19" s="37" t="s">
        <v>657</v>
      </c>
      <c r="C19">
        <v>144500</v>
      </c>
      <c r="D19" s="53">
        <v>1</v>
      </c>
      <c r="E19" s="53"/>
      <c r="F19" s="53"/>
      <c r="G19" s="53"/>
      <c r="H19" s="53"/>
      <c r="I19" s="53">
        <f t="shared" si="18"/>
        <v>1</v>
      </c>
      <c r="J19" s="46">
        <v>0.96</v>
      </c>
      <c r="K19" s="46">
        <v>0.01</v>
      </c>
      <c r="L19" s="46">
        <v>0.01</v>
      </c>
      <c r="M19" s="46"/>
      <c r="N19" s="46"/>
      <c r="O19" s="46"/>
      <c r="P19" s="46"/>
      <c r="Q19" s="46"/>
      <c r="R19" s="46"/>
      <c r="S19" s="46">
        <v>0.01</v>
      </c>
      <c r="T19" s="46"/>
      <c r="U19" s="46"/>
      <c r="V19" s="46"/>
      <c r="W19" s="46"/>
      <c r="X19" s="46">
        <v>0.01</v>
      </c>
      <c r="Z19" s="53">
        <f t="shared" si="5"/>
        <v>1</v>
      </c>
      <c r="AB19" s="45">
        <f t="shared" si="6"/>
        <v>138720</v>
      </c>
      <c r="AC19" s="45">
        <f t="shared" si="19"/>
        <v>138720</v>
      </c>
      <c r="AD19" s="45">
        <f t="shared" si="20"/>
        <v>0</v>
      </c>
      <c r="AE19" s="45">
        <f t="shared" si="21"/>
        <v>0</v>
      </c>
      <c r="AF19" s="45">
        <f t="shared" si="22"/>
        <v>0</v>
      </c>
      <c r="AG19" s="45">
        <f t="shared" si="23"/>
        <v>0</v>
      </c>
      <c r="AH19" s="45">
        <f t="shared" si="24"/>
        <v>1445</v>
      </c>
      <c r="AI19" s="45">
        <f t="shared" si="25"/>
        <v>1445</v>
      </c>
      <c r="AJ19" s="45">
        <f t="shared" si="7"/>
        <v>0</v>
      </c>
      <c r="AK19" s="45">
        <f t="shared" si="8"/>
        <v>0</v>
      </c>
      <c r="AL19" s="45">
        <f t="shared" si="9"/>
        <v>0</v>
      </c>
      <c r="AM19" s="45">
        <f t="shared" si="10"/>
        <v>0</v>
      </c>
      <c r="AN19" s="45">
        <f t="shared" si="11"/>
        <v>0</v>
      </c>
      <c r="AO19" s="45">
        <f t="shared" si="12"/>
        <v>1445</v>
      </c>
      <c r="AP19" s="45">
        <f t="shared" si="13"/>
        <v>0</v>
      </c>
      <c r="AQ19" s="45">
        <f t="shared" si="14"/>
        <v>0</v>
      </c>
      <c r="AR19" s="45">
        <f t="shared" si="15"/>
        <v>0</v>
      </c>
      <c r="AS19" s="45">
        <f t="shared" si="16"/>
        <v>0</v>
      </c>
      <c r="AT19" s="45">
        <f t="shared" si="17"/>
        <v>1445</v>
      </c>
    </row>
    <row r="20" spans="2:46" ht="12.75">
      <c r="B20" s="37" t="s">
        <v>658</v>
      </c>
      <c r="C20">
        <v>1481800</v>
      </c>
      <c r="D20" s="53">
        <v>0.12</v>
      </c>
      <c r="E20" s="53">
        <v>0.75</v>
      </c>
      <c r="F20" s="53">
        <v>0.08</v>
      </c>
      <c r="G20" s="53">
        <v>0.05</v>
      </c>
      <c r="H20" s="53"/>
      <c r="I20" s="53">
        <f t="shared" si="18"/>
        <v>1</v>
      </c>
      <c r="J20" s="46">
        <v>0.79</v>
      </c>
      <c r="K20" s="46"/>
      <c r="L20" s="46">
        <v>0.03</v>
      </c>
      <c r="M20" s="46"/>
      <c r="N20" s="46"/>
      <c r="O20" s="46">
        <f>0.4*0.09</f>
        <v>0.036</v>
      </c>
      <c r="P20" s="46"/>
      <c r="Q20" s="46">
        <f>0.6*0.09</f>
        <v>0.054</v>
      </c>
      <c r="R20" s="46">
        <v>0.02</v>
      </c>
      <c r="S20" s="46">
        <v>0.05</v>
      </c>
      <c r="T20" s="46">
        <v>0.01</v>
      </c>
      <c r="U20" s="46">
        <v>0.01</v>
      </c>
      <c r="V20" s="46"/>
      <c r="W20" s="46"/>
      <c r="X20" s="46"/>
      <c r="Z20" s="53">
        <f t="shared" si="5"/>
        <v>1.0000000000000002</v>
      </c>
      <c r="AB20" s="45">
        <f t="shared" si="6"/>
        <v>1170622</v>
      </c>
      <c r="AC20" s="45">
        <f t="shared" si="19"/>
        <v>140474.63999999998</v>
      </c>
      <c r="AD20" s="45">
        <f t="shared" si="20"/>
        <v>877966.5</v>
      </c>
      <c r="AE20" s="45">
        <f t="shared" si="21"/>
        <v>93649.76000000001</v>
      </c>
      <c r="AF20" s="45">
        <f t="shared" si="22"/>
        <v>58531.10000000001</v>
      </c>
      <c r="AG20" s="45">
        <f t="shared" si="23"/>
        <v>0</v>
      </c>
      <c r="AH20" s="45">
        <f t="shared" si="24"/>
        <v>0</v>
      </c>
      <c r="AI20" s="45">
        <f t="shared" si="25"/>
        <v>44454</v>
      </c>
      <c r="AJ20" s="45">
        <f t="shared" si="7"/>
        <v>0</v>
      </c>
      <c r="AK20" s="45">
        <f t="shared" si="8"/>
        <v>53344.799999999996</v>
      </c>
      <c r="AL20" s="45">
        <f t="shared" si="9"/>
        <v>0</v>
      </c>
      <c r="AM20" s="45">
        <f t="shared" si="10"/>
        <v>80017.2</v>
      </c>
      <c r="AN20" s="45">
        <f t="shared" si="11"/>
        <v>29636</v>
      </c>
      <c r="AO20" s="45">
        <f t="shared" si="12"/>
        <v>74090</v>
      </c>
      <c r="AP20" s="45">
        <f t="shared" si="13"/>
        <v>14818</v>
      </c>
      <c r="AQ20" s="45">
        <f t="shared" si="14"/>
        <v>14818</v>
      </c>
      <c r="AR20" s="45">
        <f t="shared" si="15"/>
        <v>0</v>
      </c>
      <c r="AS20" s="45">
        <f t="shared" si="16"/>
        <v>0</v>
      </c>
      <c r="AT20" s="45">
        <f t="shared" si="17"/>
        <v>0</v>
      </c>
    </row>
    <row r="21" spans="2:46" ht="12.75">
      <c r="B21" s="37" t="s">
        <v>659</v>
      </c>
      <c r="C21">
        <v>70000</v>
      </c>
      <c r="D21" s="53">
        <v>0.3</v>
      </c>
      <c r="E21" s="53">
        <v>0.25</v>
      </c>
      <c r="F21" s="53"/>
      <c r="G21" s="53">
        <v>0.45</v>
      </c>
      <c r="H21" s="53"/>
      <c r="I21" s="53">
        <f t="shared" si="18"/>
        <v>1</v>
      </c>
      <c r="J21" s="46">
        <v>0.79</v>
      </c>
      <c r="K21" s="46"/>
      <c r="L21" s="46">
        <v>0.03</v>
      </c>
      <c r="M21" s="46"/>
      <c r="N21" s="46"/>
      <c r="O21" s="46">
        <f>0.1*0.09</f>
        <v>0.009</v>
      </c>
      <c r="P21" s="46"/>
      <c r="Q21" s="433">
        <f>0.9*0.09</f>
        <v>0.081</v>
      </c>
      <c r="R21" s="46">
        <v>0.02</v>
      </c>
      <c r="S21" s="46">
        <v>0.05</v>
      </c>
      <c r="T21" s="46">
        <v>0.01</v>
      </c>
      <c r="U21" s="46">
        <v>0.01</v>
      </c>
      <c r="V21" s="46"/>
      <c r="W21" s="46"/>
      <c r="X21" s="46"/>
      <c r="Z21" s="53">
        <f t="shared" si="5"/>
        <v>1</v>
      </c>
      <c r="AB21" s="45">
        <f t="shared" si="6"/>
        <v>55300</v>
      </c>
      <c r="AC21" s="45">
        <f t="shared" si="19"/>
        <v>16590</v>
      </c>
      <c r="AD21" s="45">
        <f t="shared" si="20"/>
        <v>13825</v>
      </c>
      <c r="AE21" s="45">
        <f t="shared" si="21"/>
        <v>0</v>
      </c>
      <c r="AF21" s="45">
        <f t="shared" si="22"/>
        <v>24885.000000000004</v>
      </c>
      <c r="AG21" s="45">
        <f t="shared" si="23"/>
        <v>0</v>
      </c>
      <c r="AH21" s="45">
        <f t="shared" si="24"/>
        <v>0</v>
      </c>
      <c r="AI21" s="45">
        <f t="shared" si="25"/>
        <v>2100</v>
      </c>
      <c r="AJ21" s="45">
        <f t="shared" si="7"/>
        <v>0</v>
      </c>
      <c r="AK21" s="45">
        <f t="shared" si="8"/>
        <v>630</v>
      </c>
      <c r="AL21" s="45">
        <f t="shared" si="9"/>
        <v>0</v>
      </c>
      <c r="AM21" s="45">
        <f t="shared" si="10"/>
        <v>5670</v>
      </c>
      <c r="AN21" s="45">
        <f t="shared" si="11"/>
        <v>1400</v>
      </c>
      <c r="AO21" s="45">
        <f t="shared" si="12"/>
        <v>3500</v>
      </c>
      <c r="AP21" s="45">
        <f t="shared" si="13"/>
        <v>700</v>
      </c>
      <c r="AQ21" s="45">
        <f t="shared" si="14"/>
        <v>700</v>
      </c>
      <c r="AR21" s="45">
        <f t="shared" si="15"/>
        <v>0</v>
      </c>
      <c r="AS21" s="45">
        <f t="shared" si="16"/>
        <v>0</v>
      </c>
      <c r="AT21" s="45">
        <f t="shared" si="17"/>
        <v>0</v>
      </c>
    </row>
    <row r="22" spans="2:46" ht="12.75">
      <c r="B22" s="37" t="s">
        <v>660</v>
      </c>
      <c r="C22">
        <v>254600</v>
      </c>
      <c r="D22" s="53">
        <v>0.5</v>
      </c>
      <c r="E22" s="53">
        <v>0.4</v>
      </c>
      <c r="F22" s="53"/>
      <c r="G22" s="53">
        <v>0.1</v>
      </c>
      <c r="H22" s="53"/>
      <c r="I22" s="53">
        <f t="shared" si="18"/>
        <v>1</v>
      </c>
      <c r="J22" s="46">
        <v>0.79</v>
      </c>
      <c r="K22" s="46"/>
      <c r="L22" s="46">
        <v>0.05</v>
      </c>
      <c r="M22" s="46"/>
      <c r="N22" s="46"/>
      <c r="O22" s="46"/>
      <c r="P22" s="46"/>
      <c r="Q22" s="46">
        <v>0.08</v>
      </c>
      <c r="R22" s="46">
        <v>0.02</v>
      </c>
      <c r="S22" s="46">
        <v>0.03</v>
      </c>
      <c r="T22" s="46">
        <v>0.01</v>
      </c>
      <c r="U22" s="46">
        <v>0.01</v>
      </c>
      <c r="V22" s="46"/>
      <c r="W22" s="46"/>
      <c r="X22" s="46">
        <v>0.01</v>
      </c>
      <c r="Z22" s="53">
        <f t="shared" si="5"/>
        <v>1</v>
      </c>
      <c r="AB22" s="45">
        <f t="shared" si="6"/>
        <v>201134</v>
      </c>
      <c r="AC22" s="45">
        <f t="shared" si="19"/>
        <v>100567</v>
      </c>
      <c r="AD22" s="45">
        <f t="shared" si="20"/>
        <v>80453.60000000002</v>
      </c>
      <c r="AE22" s="45">
        <f t="shared" si="21"/>
        <v>0</v>
      </c>
      <c r="AF22" s="45">
        <f t="shared" si="22"/>
        <v>20113.400000000005</v>
      </c>
      <c r="AG22" s="45">
        <f t="shared" si="23"/>
        <v>0</v>
      </c>
      <c r="AH22" s="45">
        <f t="shared" si="24"/>
        <v>0</v>
      </c>
      <c r="AI22" s="45">
        <f t="shared" si="25"/>
        <v>12730</v>
      </c>
      <c r="AJ22" s="45">
        <f t="shared" si="7"/>
        <v>0</v>
      </c>
      <c r="AK22" s="45">
        <f t="shared" si="8"/>
        <v>0</v>
      </c>
      <c r="AL22" s="45">
        <f t="shared" si="9"/>
        <v>0</v>
      </c>
      <c r="AM22" s="45">
        <f t="shared" si="10"/>
        <v>20368</v>
      </c>
      <c r="AN22" s="45">
        <f t="shared" si="11"/>
        <v>5092</v>
      </c>
      <c r="AO22" s="45">
        <f t="shared" si="12"/>
        <v>7638</v>
      </c>
      <c r="AP22" s="45">
        <f t="shared" si="13"/>
        <v>2546</v>
      </c>
      <c r="AQ22" s="45">
        <f t="shared" si="14"/>
        <v>2546</v>
      </c>
      <c r="AR22" s="45">
        <f t="shared" si="15"/>
        <v>0</v>
      </c>
      <c r="AS22" s="45">
        <f t="shared" si="16"/>
        <v>0</v>
      </c>
      <c r="AT22" s="45">
        <f t="shared" si="17"/>
        <v>2546</v>
      </c>
    </row>
    <row r="23" spans="2:46" ht="12.75">
      <c r="B23" s="37" t="s">
        <v>1012</v>
      </c>
      <c r="C23">
        <v>160000</v>
      </c>
      <c r="D23" s="53">
        <v>0.34</v>
      </c>
      <c r="E23" s="53">
        <v>0.42</v>
      </c>
      <c r="F23" s="53">
        <v>0.08</v>
      </c>
      <c r="G23" s="53">
        <v>0.1</v>
      </c>
      <c r="H23" s="53">
        <v>0.06</v>
      </c>
      <c r="I23" s="53">
        <f t="shared" si="18"/>
        <v>1</v>
      </c>
      <c r="J23" s="46">
        <v>0.79</v>
      </c>
      <c r="K23" s="46"/>
      <c r="L23" s="46">
        <v>0.02</v>
      </c>
      <c r="M23" s="46"/>
      <c r="N23" s="46"/>
      <c r="O23" s="46"/>
      <c r="P23" s="46"/>
      <c r="Q23" s="46">
        <v>0.03</v>
      </c>
      <c r="R23" s="46">
        <v>0.05</v>
      </c>
      <c r="S23" s="46">
        <v>0.09</v>
      </c>
      <c r="T23" s="46">
        <v>0.01</v>
      </c>
      <c r="U23" s="46">
        <v>0.01</v>
      </c>
      <c r="V23" s="46"/>
      <c r="W23" s="46"/>
      <c r="X23" s="46"/>
      <c r="Z23" s="53">
        <f t="shared" si="5"/>
        <v>1</v>
      </c>
      <c r="AB23" s="45">
        <f t="shared" si="6"/>
        <v>126400</v>
      </c>
      <c r="AC23" s="45">
        <f t="shared" si="19"/>
        <v>42976</v>
      </c>
      <c r="AD23" s="45">
        <f t="shared" si="20"/>
        <v>53088</v>
      </c>
      <c r="AE23" s="45">
        <f t="shared" si="21"/>
        <v>10112.000000000002</v>
      </c>
      <c r="AF23" s="45">
        <f t="shared" si="22"/>
        <v>12640.000000000002</v>
      </c>
      <c r="AG23" s="45">
        <f t="shared" si="23"/>
        <v>7584</v>
      </c>
      <c r="AH23" s="45">
        <f t="shared" si="24"/>
        <v>0</v>
      </c>
      <c r="AI23" s="45">
        <f t="shared" si="25"/>
        <v>3200</v>
      </c>
      <c r="AJ23" s="45">
        <f t="shared" si="7"/>
        <v>0</v>
      </c>
      <c r="AK23" s="45">
        <f t="shared" si="8"/>
        <v>0</v>
      </c>
      <c r="AL23" s="45">
        <f t="shared" si="9"/>
        <v>0</v>
      </c>
      <c r="AM23" s="45">
        <f t="shared" si="10"/>
        <v>4800</v>
      </c>
      <c r="AN23" s="45">
        <f t="shared" si="11"/>
        <v>8000</v>
      </c>
      <c r="AO23" s="45">
        <f t="shared" si="12"/>
        <v>14400</v>
      </c>
      <c r="AP23" s="45">
        <f t="shared" si="13"/>
        <v>1600</v>
      </c>
      <c r="AQ23" s="45">
        <f t="shared" si="14"/>
        <v>1600</v>
      </c>
      <c r="AR23" s="45">
        <f t="shared" si="15"/>
        <v>0</v>
      </c>
      <c r="AS23" s="45">
        <f t="shared" si="16"/>
        <v>0</v>
      </c>
      <c r="AT23" s="45">
        <f t="shared" si="17"/>
        <v>0</v>
      </c>
    </row>
    <row r="24" spans="2:46" ht="12.75">
      <c r="B24" s="37" t="s">
        <v>662</v>
      </c>
      <c r="C24">
        <v>46000</v>
      </c>
      <c r="D24" s="53">
        <v>0.15</v>
      </c>
      <c r="E24" s="53">
        <v>0.85</v>
      </c>
      <c r="F24" s="53"/>
      <c r="G24" s="53"/>
      <c r="H24" s="53"/>
      <c r="I24" s="53">
        <f t="shared" si="18"/>
        <v>1</v>
      </c>
      <c r="J24" s="46">
        <v>0.09</v>
      </c>
      <c r="K24" s="46"/>
      <c r="L24" s="46">
        <v>0.01</v>
      </c>
      <c r="M24" s="46"/>
      <c r="N24" s="46"/>
      <c r="O24" s="46">
        <f>0.79*0.6</f>
        <v>0.474</v>
      </c>
      <c r="P24" s="46"/>
      <c r="Q24" s="46">
        <f>0.79*0.4</f>
        <v>0.31600000000000006</v>
      </c>
      <c r="R24" s="46">
        <v>0.02</v>
      </c>
      <c r="S24" s="46">
        <v>0.03</v>
      </c>
      <c r="T24" s="46">
        <v>0.05</v>
      </c>
      <c r="U24" s="46">
        <v>0.01</v>
      </c>
      <c r="V24" s="46"/>
      <c r="W24" s="46"/>
      <c r="X24" s="46"/>
      <c r="Z24" s="53">
        <f t="shared" si="5"/>
        <v>1</v>
      </c>
      <c r="AB24" s="45">
        <f t="shared" si="6"/>
        <v>4140</v>
      </c>
      <c r="AC24" s="45">
        <f t="shared" si="19"/>
        <v>621</v>
      </c>
      <c r="AD24" s="45">
        <f t="shared" si="20"/>
        <v>3519</v>
      </c>
      <c r="AE24" s="45">
        <f t="shared" si="21"/>
        <v>0</v>
      </c>
      <c r="AF24" s="45">
        <f t="shared" si="22"/>
        <v>0</v>
      </c>
      <c r="AG24" s="45">
        <f t="shared" si="23"/>
        <v>0</v>
      </c>
      <c r="AH24" s="45">
        <f t="shared" si="24"/>
        <v>0</v>
      </c>
      <c r="AI24" s="45">
        <f t="shared" si="25"/>
        <v>460</v>
      </c>
      <c r="AJ24" s="45">
        <f t="shared" si="7"/>
        <v>0</v>
      </c>
      <c r="AK24" s="45">
        <f t="shared" si="8"/>
        <v>21804</v>
      </c>
      <c r="AL24" s="45">
        <f t="shared" si="9"/>
        <v>0</v>
      </c>
      <c r="AM24" s="45">
        <f t="shared" si="10"/>
        <v>14536.000000000002</v>
      </c>
      <c r="AN24" s="45">
        <f t="shared" si="11"/>
        <v>920</v>
      </c>
      <c r="AO24" s="45">
        <f t="shared" si="12"/>
        <v>1380</v>
      </c>
      <c r="AP24" s="45">
        <f t="shared" si="13"/>
        <v>2300</v>
      </c>
      <c r="AQ24" s="45">
        <f t="shared" si="14"/>
        <v>460</v>
      </c>
      <c r="AR24" s="45">
        <f t="shared" si="15"/>
        <v>0</v>
      </c>
      <c r="AS24" s="45">
        <f t="shared" si="16"/>
        <v>0</v>
      </c>
      <c r="AT24" s="45">
        <f t="shared" si="17"/>
        <v>0</v>
      </c>
    </row>
    <row r="25" spans="2:46" ht="12.75">
      <c r="B25" s="37" t="s">
        <v>663</v>
      </c>
      <c r="C25">
        <v>158800</v>
      </c>
      <c r="D25" s="53">
        <v>1</v>
      </c>
      <c r="E25" s="53"/>
      <c r="F25" s="53"/>
      <c r="G25" s="53"/>
      <c r="H25" s="53"/>
      <c r="I25" s="53">
        <f t="shared" si="18"/>
        <v>1</v>
      </c>
      <c r="J25" s="46">
        <v>0.96</v>
      </c>
      <c r="K25" s="46">
        <f>0.02*0.65</f>
        <v>0.013000000000000001</v>
      </c>
      <c r="L25" s="46">
        <f>0.02*0.35</f>
        <v>0.006999999999999999</v>
      </c>
      <c r="M25" s="46"/>
      <c r="N25" s="46"/>
      <c r="O25" s="46"/>
      <c r="P25" s="46"/>
      <c r="Q25" s="46"/>
      <c r="R25" s="46"/>
      <c r="S25" s="46">
        <v>0.01</v>
      </c>
      <c r="T25" s="46"/>
      <c r="U25" s="46"/>
      <c r="V25" s="46"/>
      <c r="W25" s="46"/>
      <c r="X25" s="46">
        <v>0.01</v>
      </c>
      <c r="Z25" s="53">
        <f t="shared" si="5"/>
        <v>1</v>
      </c>
      <c r="AB25" s="45">
        <f t="shared" si="6"/>
        <v>152448</v>
      </c>
      <c r="AC25" s="45">
        <f t="shared" si="19"/>
        <v>152448</v>
      </c>
      <c r="AD25" s="45">
        <f t="shared" si="20"/>
        <v>0</v>
      </c>
      <c r="AE25" s="45">
        <f t="shared" si="21"/>
        <v>0</v>
      </c>
      <c r="AF25" s="45">
        <f t="shared" si="22"/>
        <v>0</v>
      </c>
      <c r="AG25" s="45">
        <f t="shared" si="23"/>
        <v>0</v>
      </c>
      <c r="AH25" s="45">
        <f t="shared" si="24"/>
        <v>2064.4</v>
      </c>
      <c r="AI25" s="45">
        <f t="shared" si="25"/>
        <v>1111.6</v>
      </c>
      <c r="AJ25" s="45">
        <f t="shared" si="7"/>
        <v>0</v>
      </c>
      <c r="AK25" s="45">
        <f t="shared" si="8"/>
        <v>0</v>
      </c>
      <c r="AL25" s="45">
        <f t="shared" si="9"/>
        <v>0</v>
      </c>
      <c r="AM25" s="45">
        <f t="shared" si="10"/>
        <v>0</v>
      </c>
      <c r="AN25" s="45">
        <f t="shared" si="11"/>
        <v>0</v>
      </c>
      <c r="AO25" s="45">
        <f t="shared" si="12"/>
        <v>1588</v>
      </c>
      <c r="AP25" s="45">
        <f t="shared" si="13"/>
        <v>0</v>
      </c>
      <c r="AQ25" s="45">
        <f t="shared" si="14"/>
        <v>0</v>
      </c>
      <c r="AR25" s="45">
        <f t="shared" si="15"/>
        <v>0</v>
      </c>
      <c r="AS25" s="45">
        <f t="shared" si="16"/>
        <v>0</v>
      </c>
      <c r="AT25" s="45">
        <f t="shared" si="17"/>
        <v>1588</v>
      </c>
    </row>
    <row r="26" spans="2:46" ht="12.75">
      <c r="B26" s="37" t="s">
        <v>664</v>
      </c>
      <c r="C26">
        <v>71000</v>
      </c>
      <c r="D26" s="53">
        <v>0.15</v>
      </c>
      <c r="E26" s="53">
        <v>0.85</v>
      </c>
      <c r="F26" s="53"/>
      <c r="G26" s="53"/>
      <c r="H26" s="53"/>
      <c r="I26" s="53">
        <f t="shared" si="18"/>
        <v>1</v>
      </c>
      <c r="J26" s="46">
        <v>0.83</v>
      </c>
      <c r="K26" s="46"/>
      <c r="L26" s="46">
        <v>0.15</v>
      </c>
      <c r="M26" s="46"/>
      <c r="N26" s="46"/>
      <c r="O26" s="46"/>
      <c r="P26" s="46"/>
      <c r="Q26" s="46"/>
      <c r="R26" s="46"/>
      <c r="S26" s="46">
        <v>0.01</v>
      </c>
      <c r="T26" s="46"/>
      <c r="U26" s="46"/>
      <c r="V26" s="46"/>
      <c r="W26" s="46"/>
      <c r="X26" s="46">
        <v>0.01</v>
      </c>
      <c r="Z26" s="53">
        <f t="shared" si="5"/>
        <v>1</v>
      </c>
      <c r="AB26" s="45">
        <f t="shared" si="6"/>
        <v>58930</v>
      </c>
      <c r="AC26" s="45">
        <f t="shared" si="19"/>
        <v>8839.499999999998</v>
      </c>
      <c r="AD26" s="45">
        <f t="shared" si="20"/>
        <v>50090.49999999999</v>
      </c>
      <c r="AE26" s="45">
        <f t="shared" si="21"/>
        <v>0</v>
      </c>
      <c r="AF26" s="45">
        <f t="shared" si="22"/>
        <v>0</v>
      </c>
      <c r="AG26" s="45">
        <f t="shared" si="23"/>
        <v>0</v>
      </c>
      <c r="AH26" s="45">
        <f t="shared" si="24"/>
        <v>0</v>
      </c>
      <c r="AI26" s="45">
        <f t="shared" si="25"/>
        <v>10650</v>
      </c>
      <c r="AJ26" s="45">
        <f t="shared" si="7"/>
        <v>0</v>
      </c>
      <c r="AK26" s="45">
        <f t="shared" si="8"/>
        <v>0</v>
      </c>
      <c r="AL26" s="45">
        <f t="shared" si="9"/>
        <v>0</v>
      </c>
      <c r="AM26" s="45">
        <f t="shared" si="10"/>
        <v>0</v>
      </c>
      <c r="AN26" s="45">
        <f t="shared" si="11"/>
        <v>0</v>
      </c>
      <c r="AO26" s="45">
        <f t="shared" si="12"/>
        <v>710</v>
      </c>
      <c r="AP26" s="45">
        <f t="shared" si="13"/>
        <v>0</v>
      </c>
      <c r="AQ26" s="45">
        <f t="shared" si="14"/>
        <v>0</v>
      </c>
      <c r="AR26" s="45">
        <f t="shared" si="15"/>
        <v>0</v>
      </c>
      <c r="AS26" s="45">
        <f t="shared" si="16"/>
        <v>0</v>
      </c>
      <c r="AT26" s="45">
        <f t="shared" si="17"/>
        <v>710</v>
      </c>
    </row>
    <row r="27" spans="2:46" ht="12.75">
      <c r="B27" s="37" t="s">
        <v>1014</v>
      </c>
      <c r="C27">
        <v>700000</v>
      </c>
      <c r="D27" s="53">
        <v>0.1</v>
      </c>
      <c r="E27" s="53">
        <v>0.7</v>
      </c>
      <c r="F27" s="53">
        <v>0.08</v>
      </c>
      <c r="G27" s="53">
        <v>0.12</v>
      </c>
      <c r="H27" s="53"/>
      <c r="I27" s="53">
        <f t="shared" si="18"/>
        <v>0.9999999999999999</v>
      </c>
      <c r="J27" s="46">
        <v>0.25</v>
      </c>
      <c r="K27" s="46"/>
      <c r="L27" s="46"/>
      <c r="M27" s="46"/>
      <c r="N27" s="46"/>
      <c r="O27" s="46"/>
      <c r="P27" s="46"/>
      <c r="Q27" s="46"/>
      <c r="R27" s="46">
        <v>0.02</v>
      </c>
      <c r="S27" s="46">
        <v>0.05</v>
      </c>
      <c r="T27" s="46"/>
      <c r="U27" s="46">
        <v>0.03</v>
      </c>
      <c r="V27" s="46">
        <v>0.45</v>
      </c>
      <c r="W27" s="46">
        <v>0.1</v>
      </c>
      <c r="X27" s="46">
        <v>0.1</v>
      </c>
      <c r="Z27" s="53">
        <f t="shared" si="5"/>
        <v>1</v>
      </c>
      <c r="AB27" s="45">
        <f t="shared" si="6"/>
        <v>175000</v>
      </c>
      <c r="AC27" s="45">
        <f t="shared" si="19"/>
        <v>17500</v>
      </c>
      <c r="AD27" s="45">
        <f t="shared" si="20"/>
        <v>122499.99999999999</v>
      </c>
      <c r="AE27" s="45">
        <f t="shared" si="21"/>
        <v>14000</v>
      </c>
      <c r="AF27" s="45">
        <f t="shared" si="22"/>
        <v>21000</v>
      </c>
      <c r="AG27" s="45">
        <f t="shared" si="23"/>
        <v>0</v>
      </c>
      <c r="AH27" s="45">
        <f t="shared" si="24"/>
        <v>0</v>
      </c>
      <c r="AI27" s="45">
        <f t="shared" si="25"/>
        <v>0</v>
      </c>
      <c r="AJ27" s="45">
        <f t="shared" si="7"/>
        <v>0</v>
      </c>
      <c r="AK27" s="45">
        <f t="shared" si="8"/>
        <v>0</v>
      </c>
      <c r="AL27" s="45">
        <f t="shared" si="9"/>
        <v>0</v>
      </c>
      <c r="AM27" s="45">
        <f t="shared" si="10"/>
        <v>0</v>
      </c>
      <c r="AN27" s="45">
        <f t="shared" si="11"/>
        <v>14000</v>
      </c>
      <c r="AO27" s="45">
        <f t="shared" si="12"/>
        <v>35000</v>
      </c>
      <c r="AP27" s="45">
        <f t="shared" si="13"/>
        <v>0</v>
      </c>
      <c r="AQ27" s="45">
        <f t="shared" si="14"/>
        <v>21000</v>
      </c>
      <c r="AR27" s="45">
        <f t="shared" si="15"/>
        <v>315000</v>
      </c>
      <c r="AS27" s="45">
        <f t="shared" si="16"/>
        <v>70000</v>
      </c>
      <c r="AT27" s="45">
        <f t="shared" si="17"/>
        <v>70000</v>
      </c>
    </row>
    <row r="28" spans="2:46" ht="12.75">
      <c r="B28" s="37" t="s">
        <v>665</v>
      </c>
      <c r="C28">
        <v>1800000</v>
      </c>
      <c r="D28" s="53">
        <v>0.5</v>
      </c>
      <c r="E28" s="53">
        <v>0.4</v>
      </c>
      <c r="F28" s="53"/>
      <c r="G28" s="53">
        <v>0.1</v>
      </c>
      <c r="H28" s="53"/>
      <c r="I28" s="53">
        <f t="shared" si="18"/>
        <v>1</v>
      </c>
      <c r="J28" s="46">
        <v>0.75</v>
      </c>
      <c r="K28" s="46"/>
      <c r="L28" s="46">
        <v>0.01</v>
      </c>
      <c r="M28" s="46"/>
      <c r="N28" s="46"/>
      <c r="O28" s="46">
        <f>0.08*0.4</f>
        <v>0.032</v>
      </c>
      <c r="P28" s="46"/>
      <c r="Q28" s="46">
        <f>0.08*0.6</f>
        <v>0.048</v>
      </c>
      <c r="R28" s="46">
        <v>0.06</v>
      </c>
      <c r="S28" s="46">
        <v>0.05</v>
      </c>
      <c r="T28" s="46">
        <v>0.02</v>
      </c>
      <c r="U28" s="46"/>
      <c r="V28" s="46"/>
      <c r="W28" s="46"/>
      <c r="X28" s="46">
        <v>0.03</v>
      </c>
      <c r="Z28" s="53">
        <f t="shared" si="5"/>
        <v>1.0000000000000002</v>
      </c>
      <c r="AB28" s="45">
        <f t="shared" si="6"/>
        <v>1350000</v>
      </c>
      <c r="AC28" s="45">
        <f t="shared" si="19"/>
        <v>675000</v>
      </c>
      <c r="AD28" s="45">
        <f t="shared" si="20"/>
        <v>540000.0000000001</v>
      </c>
      <c r="AE28" s="45">
        <f t="shared" si="21"/>
        <v>0</v>
      </c>
      <c r="AF28" s="45">
        <f t="shared" si="22"/>
        <v>135000.00000000003</v>
      </c>
      <c r="AG28" s="45">
        <f t="shared" si="23"/>
        <v>0</v>
      </c>
      <c r="AH28" s="45">
        <f t="shared" si="24"/>
        <v>0</v>
      </c>
      <c r="AI28" s="45">
        <f t="shared" si="25"/>
        <v>18000</v>
      </c>
      <c r="AJ28" s="45">
        <f t="shared" si="7"/>
        <v>0</v>
      </c>
      <c r="AK28" s="45">
        <f t="shared" si="8"/>
        <v>57600</v>
      </c>
      <c r="AL28" s="45">
        <f t="shared" si="9"/>
        <v>0</v>
      </c>
      <c r="AM28" s="45">
        <f t="shared" si="10"/>
        <v>86400</v>
      </c>
      <c r="AN28" s="45">
        <f t="shared" si="11"/>
        <v>108000</v>
      </c>
      <c r="AO28" s="45">
        <f t="shared" si="12"/>
        <v>90000</v>
      </c>
      <c r="AP28" s="45">
        <f t="shared" si="13"/>
        <v>36000</v>
      </c>
      <c r="AQ28" s="45">
        <f t="shared" si="14"/>
        <v>0</v>
      </c>
      <c r="AR28" s="45">
        <f t="shared" si="15"/>
        <v>0</v>
      </c>
      <c r="AS28" s="45">
        <f t="shared" si="16"/>
        <v>0</v>
      </c>
      <c r="AT28" s="45">
        <f t="shared" si="17"/>
        <v>54000</v>
      </c>
    </row>
    <row r="29" spans="2:46" ht="12.75">
      <c r="B29" s="37" t="s">
        <v>666</v>
      </c>
      <c r="C29">
        <v>275000</v>
      </c>
      <c r="D29" s="53">
        <v>0.08</v>
      </c>
      <c r="E29" s="53">
        <v>0.12</v>
      </c>
      <c r="F29" s="53">
        <v>0.8</v>
      </c>
      <c r="G29" s="53"/>
      <c r="H29" s="53"/>
      <c r="I29" s="53">
        <f t="shared" si="18"/>
        <v>1</v>
      </c>
      <c r="J29" s="46">
        <v>0.96</v>
      </c>
      <c r="K29" s="46">
        <f>0.02*0.3</f>
        <v>0.006</v>
      </c>
      <c r="L29" s="46">
        <f>0.02*0.7</f>
        <v>0.013999999999999999</v>
      </c>
      <c r="M29" s="46"/>
      <c r="N29" s="46"/>
      <c r="O29" s="46"/>
      <c r="P29" s="46"/>
      <c r="Q29" s="46"/>
      <c r="R29" s="46"/>
      <c r="S29" s="46">
        <v>0.01</v>
      </c>
      <c r="T29" s="46"/>
      <c r="U29" s="46"/>
      <c r="V29" s="46"/>
      <c r="W29" s="46"/>
      <c r="X29" s="46">
        <v>0.01</v>
      </c>
      <c r="Z29" s="53">
        <f t="shared" si="5"/>
        <v>1</v>
      </c>
      <c r="AB29" s="45">
        <f t="shared" si="6"/>
        <v>264000</v>
      </c>
      <c r="AC29" s="45">
        <f t="shared" si="19"/>
        <v>21119.999999999996</v>
      </c>
      <c r="AD29" s="45">
        <f t="shared" si="20"/>
        <v>31680</v>
      </c>
      <c r="AE29" s="45">
        <f t="shared" si="21"/>
        <v>211200</v>
      </c>
      <c r="AF29" s="45">
        <f t="shared" si="22"/>
        <v>0</v>
      </c>
      <c r="AG29" s="45">
        <f t="shared" si="23"/>
        <v>0</v>
      </c>
      <c r="AH29" s="45">
        <f t="shared" si="24"/>
        <v>1650</v>
      </c>
      <c r="AI29" s="45">
        <f t="shared" si="25"/>
        <v>3849.9999999999995</v>
      </c>
      <c r="AJ29" s="45">
        <f t="shared" si="7"/>
        <v>0</v>
      </c>
      <c r="AK29" s="45">
        <f t="shared" si="8"/>
        <v>0</v>
      </c>
      <c r="AL29" s="45">
        <f t="shared" si="9"/>
        <v>0</v>
      </c>
      <c r="AM29" s="45">
        <f t="shared" si="10"/>
        <v>0</v>
      </c>
      <c r="AN29" s="45">
        <f t="shared" si="11"/>
        <v>0</v>
      </c>
      <c r="AO29" s="45">
        <f t="shared" si="12"/>
        <v>2750</v>
      </c>
      <c r="AP29" s="45">
        <f t="shared" si="13"/>
        <v>0</v>
      </c>
      <c r="AQ29" s="45">
        <f t="shared" si="14"/>
        <v>0</v>
      </c>
      <c r="AR29" s="45">
        <f t="shared" si="15"/>
        <v>0</v>
      </c>
      <c r="AS29" s="45">
        <f t="shared" si="16"/>
        <v>0</v>
      </c>
      <c r="AT29" s="45">
        <f t="shared" si="17"/>
        <v>2750</v>
      </c>
    </row>
    <row r="30" spans="2:46" ht="12.75">
      <c r="B30" s="37" t="s">
        <v>667</v>
      </c>
      <c r="C30">
        <v>41000</v>
      </c>
      <c r="D30" s="53">
        <v>0.85</v>
      </c>
      <c r="E30" s="53">
        <v>0.15</v>
      </c>
      <c r="F30" s="53"/>
      <c r="G30" s="53"/>
      <c r="H30" s="53"/>
      <c r="I30" s="53">
        <f t="shared" si="18"/>
        <v>1</v>
      </c>
      <c r="J30" s="46">
        <v>0.01</v>
      </c>
      <c r="K30" s="46"/>
      <c r="L30" s="46"/>
      <c r="M30" s="46"/>
      <c r="N30" s="46"/>
      <c r="O30" s="46">
        <f>0.97*0.7</f>
        <v>0.6789999999999999</v>
      </c>
      <c r="P30" s="46">
        <f>0.97*0.3</f>
        <v>0.291</v>
      </c>
      <c r="Q30" s="46"/>
      <c r="R30" s="46"/>
      <c r="S30" s="46"/>
      <c r="T30" s="46">
        <v>0.02</v>
      </c>
      <c r="U30" s="46"/>
      <c r="V30" s="46"/>
      <c r="W30" s="46"/>
      <c r="X30" s="46"/>
      <c r="Z30" s="53">
        <f t="shared" si="5"/>
        <v>1</v>
      </c>
      <c r="AB30" s="45">
        <f t="shared" si="6"/>
        <v>410</v>
      </c>
      <c r="AC30" s="45">
        <f t="shared" si="19"/>
        <v>348.5</v>
      </c>
      <c r="AD30" s="45">
        <f t="shared" si="20"/>
        <v>61.5</v>
      </c>
      <c r="AE30" s="45">
        <f t="shared" si="21"/>
        <v>0</v>
      </c>
      <c r="AF30" s="45">
        <f t="shared" si="22"/>
        <v>0</v>
      </c>
      <c r="AG30" s="45">
        <f t="shared" si="23"/>
        <v>0</v>
      </c>
      <c r="AH30" s="45">
        <f t="shared" si="24"/>
        <v>0</v>
      </c>
      <c r="AI30" s="45">
        <f t="shared" si="25"/>
        <v>0</v>
      </c>
      <c r="AJ30" s="45">
        <f t="shared" si="7"/>
        <v>0</v>
      </c>
      <c r="AK30" s="45">
        <f t="shared" si="8"/>
        <v>27838.999999999996</v>
      </c>
      <c r="AL30" s="45">
        <f t="shared" si="9"/>
        <v>11931</v>
      </c>
      <c r="AM30" s="45">
        <f t="shared" si="10"/>
        <v>0</v>
      </c>
      <c r="AN30" s="45">
        <f t="shared" si="11"/>
        <v>0</v>
      </c>
      <c r="AO30" s="45">
        <f t="shared" si="12"/>
        <v>0</v>
      </c>
      <c r="AP30" s="45">
        <f t="shared" si="13"/>
        <v>820</v>
      </c>
      <c r="AQ30" s="45">
        <f t="shared" si="14"/>
        <v>0</v>
      </c>
      <c r="AR30" s="45">
        <f t="shared" si="15"/>
        <v>0</v>
      </c>
      <c r="AS30" s="45">
        <f t="shared" si="16"/>
        <v>0</v>
      </c>
      <c r="AT30" s="45">
        <f t="shared" si="17"/>
        <v>0</v>
      </c>
    </row>
    <row r="31" spans="2:46" ht="12.75">
      <c r="B31" s="37" t="s">
        <v>668</v>
      </c>
      <c r="C31">
        <v>266000</v>
      </c>
      <c r="D31" s="53">
        <v>0.8</v>
      </c>
      <c r="E31" s="53">
        <v>0.12</v>
      </c>
      <c r="F31" s="53"/>
      <c r="G31" s="53"/>
      <c r="H31" s="53">
        <v>0.08</v>
      </c>
      <c r="I31" s="53">
        <f t="shared" si="18"/>
        <v>1</v>
      </c>
      <c r="J31" s="46">
        <v>0.79</v>
      </c>
      <c r="K31" s="46"/>
      <c r="L31" s="46">
        <v>0.03</v>
      </c>
      <c r="M31" s="46"/>
      <c r="N31" s="46"/>
      <c r="O31" s="46">
        <v>0.09</v>
      </c>
      <c r="P31" s="46"/>
      <c r="Q31" s="46"/>
      <c r="R31" s="46">
        <v>0.02</v>
      </c>
      <c r="S31" s="46">
        <v>0.05</v>
      </c>
      <c r="T31" s="46">
        <v>0.01</v>
      </c>
      <c r="U31" s="46">
        <v>0.01</v>
      </c>
      <c r="V31" s="46"/>
      <c r="W31" s="46"/>
      <c r="X31" s="46"/>
      <c r="Z31" s="53">
        <f t="shared" si="5"/>
        <v>1</v>
      </c>
      <c r="AB31" s="45">
        <f t="shared" si="6"/>
        <v>210140</v>
      </c>
      <c r="AC31" s="45">
        <f t="shared" si="19"/>
        <v>168112.00000000003</v>
      </c>
      <c r="AD31" s="45">
        <f t="shared" si="20"/>
        <v>25216.8</v>
      </c>
      <c r="AE31" s="45">
        <f t="shared" si="21"/>
        <v>0</v>
      </c>
      <c r="AF31" s="45">
        <f t="shared" si="22"/>
        <v>0</v>
      </c>
      <c r="AG31" s="45">
        <f t="shared" si="23"/>
        <v>16811.2</v>
      </c>
      <c r="AH31" s="45">
        <f t="shared" si="24"/>
        <v>0</v>
      </c>
      <c r="AI31" s="45">
        <f t="shared" si="25"/>
        <v>7980</v>
      </c>
      <c r="AJ31" s="45">
        <f t="shared" si="7"/>
        <v>0</v>
      </c>
      <c r="AK31" s="45">
        <f t="shared" si="8"/>
        <v>23940</v>
      </c>
      <c r="AL31" s="45">
        <f t="shared" si="9"/>
        <v>0</v>
      </c>
      <c r="AM31" s="45">
        <f t="shared" si="10"/>
        <v>0</v>
      </c>
      <c r="AN31" s="45">
        <f t="shared" si="11"/>
        <v>5320</v>
      </c>
      <c r="AO31" s="45">
        <f t="shared" si="12"/>
        <v>13300</v>
      </c>
      <c r="AP31" s="45">
        <f t="shared" si="13"/>
        <v>2660</v>
      </c>
      <c r="AQ31" s="45">
        <f t="shared" si="14"/>
        <v>2660</v>
      </c>
      <c r="AR31" s="45">
        <f t="shared" si="15"/>
        <v>0</v>
      </c>
      <c r="AS31" s="45">
        <f t="shared" si="16"/>
        <v>0</v>
      </c>
      <c r="AT31" s="45">
        <f t="shared" si="17"/>
        <v>0</v>
      </c>
    </row>
    <row r="32" spans="2:46" ht="12.75">
      <c r="B32" s="37" t="s">
        <v>669</v>
      </c>
      <c r="C32">
        <v>2618200</v>
      </c>
      <c r="D32" s="53">
        <v>0.1</v>
      </c>
      <c r="E32" s="53">
        <v>0.5</v>
      </c>
      <c r="F32" s="53"/>
      <c r="G32" s="53">
        <v>0.4</v>
      </c>
      <c r="H32" s="53"/>
      <c r="I32" s="53">
        <f t="shared" si="18"/>
        <v>1</v>
      </c>
      <c r="J32" s="46">
        <v>0.83</v>
      </c>
      <c r="K32" s="46"/>
      <c r="L32" s="46"/>
      <c r="M32" s="46"/>
      <c r="N32" s="46"/>
      <c r="O32" s="46"/>
      <c r="P32" s="46"/>
      <c r="Q32" s="46"/>
      <c r="R32" s="46"/>
      <c r="S32" s="46">
        <v>0.02</v>
      </c>
      <c r="T32" s="46"/>
      <c r="U32" s="46">
        <v>0.01</v>
      </c>
      <c r="V32" s="46">
        <v>0.09</v>
      </c>
      <c r="W32" s="46">
        <v>0.03</v>
      </c>
      <c r="X32" s="46">
        <v>0.02</v>
      </c>
      <c r="Z32" s="53">
        <f t="shared" si="5"/>
        <v>1</v>
      </c>
      <c r="AB32" s="45">
        <f t="shared" si="6"/>
        <v>2173106</v>
      </c>
      <c r="AC32" s="45">
        <f t="shared" si="19"/>
        <v>217310.6</v>
      </c>
      <c r="AD32" s="45">
        <f t="shared" si="20"/>
        <v>1086553</v>
      </c>
      <c r="AE32" s="45">
        <f t="shared" si="21"/>
        <v>0</v>
      </c>
      <c r="AF32" s="45">
        <f t="shared" si="22"/>
        <v>869242.4</v>
      </c>
      <c r="AG32" s="45">
        <f t="shared" si="23"/>
        <v>0</v>
      </c>
      <c r="AH32" s="45">
        <f t="shared" si="24"/>
        <v>0</v>
      </c>
      <c r="AI32" s="45">
        <f t="shared" si="25"/>
        <v>0</v>
      </c>
      <c r="AJ32" s="45">
        <f t="shared" si="7"/>
        <v>0</v>
      </c>
      <c r="AK32" s="45">
        <f t="shared" si="8"/>
        <v>0</v>
      </c>
      <c r="AL32" s="45">
        <f t="shared" si="9"/>
        <v>0</v>
      </c>
      <c r="AM32" s="45">
        <f t="shared" si="10"/>
        <v>0</v>
      </c>
      <c r="AN32" s="45">
        <f t="shared" si="11"/>
        <v>0</v>
      </c>
      <c r="AO32" s="45">
        <f t="shared" si="12"/>
        <v>52364</v>
      </c>
      <c r="AP32" s="45">
        <f t="shared" si="13"/>
        <v>0</v>
      </c>
      <c r="AQ32" s="45">
        <f t="shared" si="14"/>
        <v>26182</v>
      </c>
      <c r="AR32" s="45">
        <f t="shared" si="15"/>
        <v>235638</v>
      </c>
      <c r="AS32" s="45">
        <f t="shared" si="16"/>
        <v>78546</v>
      </c>
      <c r="AT32" s="45">
        <f t="shared" si="17"/>
        <v>52364</v>
      </c>
    </row>
    <row r="33" spans="2:46" ht="12.75">
      <c r="B33" s="37" t="s">
        <v>671</v>
      </c>
      <c r="C33">
        <v>2618200</v>
      </c>
      <c r="D33" s="53">
        <v>0.15</v>
      </c>
      <c r="E33" s="53">
        <v>0.85</v>
      </c>
      <c r="F33" s="53"/>
      <c r="G33" s="53"/>
      <c r="H33" s="53"/>
      <c r="I33" s="53">
        <f t="shared" si="18"/>
        <v>1</v>
      </c>
      <c r="J33" s="46">
        <v>0.79</v>
      </c>
      <c r="K33" s="46"/>
      <c r="L33" s="46">
        <v>0.03</v>
      </c>
      <c r="M33" s="46"/>
      <c r="N33" s="46"/>
      <c r="O33" s="46">
        <f>0.1*0.09</f>
        <v>0.009</v>
      </c>
      <c r="P33" s="46"/>
      <c r="Q33" s="46">
        <f>0.9*0.09</f>
        <v>0.081</v>
      </c>
      <c r="R33" s="46">
        <v>0.02</v>
      </c>
      <c r="S33" s="46">
        <v>0.05</v>
      </c>
      <c r="T33" s="46">
        <v>0.01</v>
      </c>
      <c r="U33" s="46">
        <v>0.01</v>
      </c>
      <c r="V33" s="46"/>
      <c r="W33" s="46"/>
      <c r="X33" s="46"/>
      <c r="Z33" s="53">
        <f t="shared" si="5"/>
        <v>1</v>
      </c>
      <c r="AB33" s="45">
        <f t="shared" si="6"/>
        <v>2068378</v>
      </c>
      <c r="AC33" s="45">
        <f t="shared" si="19"/>
        <v>310256.7</v>
      </c>
      <c r="AD33" s="45">
        <f t="shared" si="20"/>
        <v>1758121.3</v>
      </c>
      <c r="AE33" s="45">
        <f t="shared" si="21"/>
        <v>0</v>
      </c>
      <c r="AF33" s="45">
        <f t="shared" si="22"/>
        <v>0</v>
      </c>
      <c r="AG33" s="45">
        <f t="shared" si="23"/>
        <v>0</v>
      </c>
      <c r="AH33" s="45">
        <f t="shared" si="24"/>
        <v>0</v>
      </c>
      <c r="AI33" s="45">
        <f t="shared" si="25"/>
        <v>78546</v>
      </c>
      <c r="AJ33" s="45">
        <f t="shared" si="7"/>
        <v>0</v>
      </c>
      <c r="AK33" s="45">
        <f t="shared" si="8"/>
        <v>23563.8</v>
      </c>
      <c r="AL33" s="45">
        <f t="shared" si="9"/>
        <v>0</v>
      </c>
      <c r="AM33" s="45">
        <f t="shared" si="10"/>
        <v>212074.2</v>
      </c>
      <c r="AN33" s="45">
        <f t="shared" si="11"/>
        <v>52364</v>
      </c>
      <c r="AO33" s="45">
        <f t="shared" si="12"/>
        <v>130910</v>
      </c>
      <c r="AP33" s="45">
        <f t="shared" si="13"/>
        <v>26182</v>
      </c>
      <c r="AQ33" s="45">
        <f t="shared" si="14"/>
        <v>26182</v>
      </c>
      <c r="AR33" s="45">
        <f t="shared" si="15"/>
        <v>0</v>
      </c>
      <c r="AS33" s="45">
        <f t="shared" si="16"/>
        <v>0</v>
      </c>
      <c r="AT33" s="45">
        <f t="shared" si="17"/>
        <v>0</v>
      </c>
    </row>
    <row r="34" spans="2:46" ht="12.75">
      <c r="B34" s="37" t="s">
        <v>672</v>
      </c>
      <c r="C34">
        <v>85500</v>
      </c>
      <c r="D34" s="53">
        <v>0.15</v>
      </c>
      <c r="E34" s="53">
        <v>0.85</v>
      </c>
      <c r="F34" s="53"/>
      <c r="G34" s="53"/>
      <c r="H34" s="53"/>
      <c r="I34" s="53">
        <f t="shared" si="18"/>
        <v>1</v>
      </c>
      <c r="J34" s="46">
        <v>0.79</v>
      </c>
      <c r="K34" s="46"/>
      <c r="L34" s="46">
        <v>0.09</v>
      </c>
      <c r="M34" s="46"/>
      <c r="N34" s="46"/>
      <c r="O34" s="46">
        <v>0.01</v>
      </c>
      <c r="P34" s="46"/>
      <c r="Q34" s="46">
        <v>0.01</v>
      </c>
      <c r="R34" s="46">
        <v>0.05</v>
      </c>
      <c r="S34" s="46">
        <v>0.03</v>
      </c>
      <c r="T34" s="46"/>
      <c r="U34" s="46"/>
      <c r="V34" s="46"/>
      <c r="W34" s="46"/>
      <c r="X34" s="46">
        <v>0.02</v>
      </c>
      <c r="Z34" s="53">
        <f t="shared" si="5"/>
        <v>1</v>
      </c>
      <c r="AB34" s="45">
        <f t="shared" si="6"/>
        <v>67545</v>
      </c>
      <c r="AC34" s="45">
        <f t="shared" si="19"/>
        <v>10131.75</v>
      </c>
      <c r="AD34" s="45">
        <f t="shared" si="20"/>
        <v>57413.25</v>
      </c>
      <c r="AE34" s="45">
        <f t="shared" si="21"/>
        <v>0</v>
      </c>
      <c r="AF34" s="45">
        <f t="shared" si="22"/>
        <v>0</v>
      </c>
      <c r="AG34" s="45">
        <f t="shared" si="23"/>
        <v>0</v>
      </c>
      <c r="AH34" s="45">
        <f t="shared" si="24"/>
        <v>0</v>
      </c>
      <c r="AI34" s="45">
        <f t="shared" si="25"/>
        <v>7695</v>
      </c>
      <c r="AJ34" s="45">
        <f t="shared" si="7"/>
        <v>0</v>
      </c>
      <c r="AK34" s="45">
        <f t="shared" si="8"/>
        <v>855</v>
      </c>
      <c r="AL34" s="45">
        <f t="shared" si="9"/>
        <v>0</v>
      </c>
      <c r="AM34" s="45">
        <f t="shared" si="10"/>
        <v>855</v>
      </c>
      <c r="AN34" s="45">
        <f t="shared" si="11"/>
        <v>4275</v>
      </c>
      <c r="AO34" s="45">
        <f t="shared" si="12"/>
        <v>2565</v>
      </c>
      <c r="AP34" s="45">
        <f t="shared" si="13"/>
        <v>0</v>
      </c>
      <c r="AQ34" s="45">
        <f t="shared" si="14"/>
        <v>0</v>
      </c>
      <c r="AR34" s="45">
        <f t="shared" si="15"/>
        <v>0</v>
      </c>
      <c r="AS34" s="45">
        <f t="shared" si="16"/>
        <v>0</v>
      </c>
      <c r="AT34" s="45">
        <f t="shared" si="17"/>
        <v>1710</v>
      </c>
    </row>
    <row r="35" spans="2:46" ht="12.75">
      <c r="B35" s="37" t="s">
        <v>673</v>
      </c>
      <c r="C35">
        <v>395000</v>
      </c>
      <c r="D35" s="53"/>
      <c r="E35" s="53">
        <v>0.4</v>
      </c>
      <c r="F35" s="53"/>
      <c r="G35" s="53">
        <v>0.6</v>
      </c>
      <c r="H35" s="53"/>
      <c r="I35" s="53">
        <f t="shared" si="18"/>
        <v>1</v>
      </c>
      <c r="J35" s="46">
        <v>0.96</v>
      </c>
      <c r="K35" s="46"/>
      <c r="L35" s="46"/>
      <c r="M35" s="46"/>
      <c r="N35" s="46"/>
      <c r="O35" s="46">
        <v>0.005</v>
      </c>
      <c r="P35" s="46"/>
      <c r="Q35" s="46">
        <v>0.005</v>
      </c>
      <c r="R35" s="46"/>
      <c r="S35" s="46">
        <v>0.02</v>
      </c>
      <c r="T35" s="46"/>
      <c r="U35" s="46"/>
      <c r="V35" s="46"/>
      <c r="W35" s="46"/>
      <c r="X35" s="46">
        <v>0.01</v>
      </c>
      <c r="Z35" s="53">
        <f t="shared" si="5"/>
        <v>1</v>
      </c>
      <c r="AB35" s="45">
        <f t="shared" si="6"/>
        <v>379200</v>
      </c>
      <c r="AC35" s="45">
        <f t="shared" si="19"/>
        <v>0</v>
      </c>
      <c r="AD35" s="45">
        <f t="shared" si="20"/>
        <v>151680</v>
      </c>
      <c r="AE35" s="45">
        <f t="shared" si="21"/>
        <v>0</v>
      </c>
      <c r="AF35" s="45">
        <f t="shared" si="22"/>
        <v>227519.99999999997</v>
      </c>
      <c r="AG35" s="45">
        <f t="shared" si="23"/>
        <v>0</v>
      </c>
      <c r="AH35" s="45">
        <f t="shared" si="24"/>
        <v>0</v>
      </c>
      <c r="AI35" s="45">
        <f t="shared" si="25"/>
        <v>0</v>
      </c>
      <c r="AJ35" s="45">
        <f t="shared" si="7"/>
        <v>0</v>
      </c>
      <c r="AK35" s="45">
        <f t="shared" si="8"/>
        <v>1975</v>
      </c>
      <c r="AL35" s="45">
        <f t="shared" si="9"/>
        <v>0</v>
      </c>
      <c r="AM35" s="45">
        <f t="shared" si="10"/>
        <v>1975</v>
      </c>
      <c r="AN35" s="45">
        <f t="shared" si="11"/>
        <v>0</v>
      </c>
      <c r="AO35" s="45">
        <f t="shared" si="12"/>
        <v>7900</v>
      </c>
      <c r="AP35" s="45">
        <f t="shared" si="13"/>
        <v>0</v>
      </c>
      <c r="AQ35" s="45">
        <f t="shared" si="14"/>
        <v>0</v>
      </c>
      <c r="AR35" s="45">
        <f t="shared" si="15"/>
        <v>0</v>
      </c>
      <c r="AS35" s="45">
        <f t="shared" si="16"/>
        <v>0</v>
      </c>
      <c r="AT35" s="45">
        <f t="shared" si="17"/>
        <v>3950</v>
      </c>
    </row>
    <row r="36" spans="2:46" ht="12.75">
      <c r="B36" s="37" t="s">
        <v>674</v>
      </c>
      <c r="C36">
        <v>500000</v>
      </c>
      <c r="D36" s="53">
        <v>0.08</v>
      </c>
      <c r="E36" s="53">
        <v>0.12</v>
      </c>
      <c r="F36" s="53">
        <v>0.8</v>
      </c>
      <c r="G36" s="53"/>
      <c r="H36" s="53"/>
      <c r="I36" s="53">
        <f t="shared" si="18"/>
        <v>1</v>
      </c>
      <c r="J36" s="46">
        <v>0.96</v>
      </c>
      <c r="K36" s="46"/>
      <c r="L36" s="46"/>
      <c r="M36" s="46"/>
      <c r="N36" s="46"/>
      <c r="O36" s="46"/>
      <c r="P36" s="46"/>
      <c r="Q36" s="46"/>
      <c r="R36" s="46"/>
      <c r="S36" s="46">
        <v>0.01</v>
      </c>
      <c r="T36" s="46"/>
      <c r="U36" s="46"/>
      <c r="V36" s="46"/>
      <c r="W36" s="46"/>
      <c r="X36" s="46">
        <v>0.03</v>
      </c>
      <c r="Z36" s="53">
        <f t="shared" si="5"/>
        <v>1</v>
      </c>
      <c r="AB36" s="45">
        <f t="shared" si="6"/>
        <v>480000</v>
      </c>
      <c r="AC36" s="45">
        <f t="shared" si="19"/>
        <v>38400</v>
      </c>
      <c r="AD36" s="45">
        <f t="shared" si="20"/>
        <v>57600</v>
      </c>
      <c r="AE36" s="45">
        <f t="shared" si="21"/>
        <v>384000</v>
      </c>
      <c r="AF36" s="45">
        <f t="shared" si="22"/>
        <v>0</v>
      </c>
      <c r="AG36" s="45">
        <f t="shared" si="23"/>
        <v>0</v>
      </c>
      <c r="AH36" s="45">
        <f t="shared" si="24"/>
        <v>0</v>
      </c>
      <c r="AI36" s="45">
        <f t="shared" si="25"/>
        <v>0</v>
      </c>
      <c r="AJ36" s="45">
        <f t="shared" si="7"/>
        <v>0</v>
      </c>
      <c r="AK36" s="45">
        <f t="shared" si="8"/>
        <v>0</v>
      </c>
      <c r="AL36" s="45">
        <f t="shared" si="9"/>
        <v>0</v>
      </c>
      <c r="AM36" s="45">
        <f t="shared" si="10"/>
        <v>0</v>
      </c>
      <c r="AN36" s="45">
        <f t="shared" si="11"/>
        <v>0</v>
      </c>
      <c r="AO36" s="45">
        <f t="shared" si="12"/>
        <v>5000</v>
      </c>
      <c r="AP36" s="45">
        <f t="shared" si="13"/>
        <v>0</v>
      </c>
      <c r="AQ36" s="45">
        <f t="shared" si="14"/>
        <v>0</v>
      </c>
      <c r="AR36" s="45">
        <f t="shared" si="15"/>
        <v>0</v>
      </c>
      <c r="AS36" s="45">
        <f t="shared" si="16"/>
        <v>0</v>
      </c>
      <c r="AT36" s="45">
        <f t="shared" si="17"/>
        <v>15000</v>
      </c>
    </row>
    <row r="37" spans="2:46" ht="12.75">
      <c r="B37" s="37" t="s">
        <v>675</v>
      </c>
      <c r="C37">
        <v>468000</v>
      </c>
      <c r="D37" s="53">
        <v>0.08</v>
      </c>
      <c r="E37" s="53">
        <v>0.46</v>
      </c>
      <c r="F37" s="53">
        <v>0.06</v>
      </c>
      <c r="G37" s="53">
        <v>0.4</v>
      </c>
      <c r="H37" s="53"/>
      <c r="I37" s="53">
        <f t="shared" si="18"/>
        <v>1</v>
      </c>
      <c r="J37" s="46">
        <v>0.79</v>
      </c>
      <c r="K37" s="46">
        <f>0.08*0.9</f>
        <v>0.07200000000000001</v>
      </c>
      <c r="L37" s="46">
        <f>0.08*0.1</f>
        <v>0.008</v>
      </c>
      <c r="M37" s="46"/>
      <c r="N37" s="46"/>
      <c r="O37" s="46">
        <v>0.015</v>
      </c>
      <c r="P37" s="46"/>
      <c r="Q37" s="46">
        <v>0.015</v>
      </c>
      <c r="R37" s="46">
        <v>0.02</v>
      </c>
      <c r="S37" s="46">
        <v>0.06</v>
      </c>
      <c r="T37" s="46">
        <v>0.01</v>
      </c>
      <c r="U37" s="46">
        <v>0.01</v>
      </c>
      <c r="V37" s="46"/>
      <c r="W37" s="46"/>
      <c r="X37" s="46"/>
      <c r="Z37" s="53">
        <f t="shared" si="5"/>
        <v>1.0000000000000002</v>
      </c>
      <c r="AB37" s="45">
        <f t="shared" si="6"/>
        <v>369720</v>
      </c>
      <c r="AC37" s="45">
        <f t="shared" si="19"/>
        <v>29577.600000000002</v>
      </c>
      <c r="AD37" s="45">
        <f t="shared" si="20"/>
        <v>170071.20000000004</v>
      </c>
      <c r="AE37" s="45">
        <f t="shared" si="21"/>
        <v>22183.2</v>
      </c>
      <c r="AF37" s="45">
        <f t="shared" si="22"/>
        <v>147888.00000000003</v>
      </c>
      <c r="AG37" s="45">
        <f t="shared" si="23"/>
        <v>0</v>
      </c>
      <c r="AH37" s="45">
        <f t="shared" si="24"/>
        <v>33696.00000000001</v>
      </c>
      <c r="AI37" s="45">
        <f t="shared" si="25"/>
        <v>3744</v>
      </c>
      <c r="AJ37" s="45">
        <f t="shared" si="7"/>
        <v>0</v>
      </c>
      <c r="AK37" s="45">
        <f t="shared" si="8"/>
        <v>7020</v>
      </c>
      <c r="AL37" s="45">
        <f t="shared" si="9"/>
        <v>0</v>
      </c>
      <c r="AM37" s="45">
        <f t="shared" si="10"/>
        <v>7020</v>
      </c>
      <c r="AN37" s="45">
        <f t="shared" si="11"/>
        <v>9360</v>
      </c>
      <c r="AO37" s="45">
        <f t="shared" si="12"/>
        <v>28080</v>
      </c>
      <c r="AP37" s="45">
        <f t="shared" si="13"/>
        <v>4680</v>
      </c>
      <c r="AQ37" s="45">
        <f t="shared" si="14"/>
        <v>4680</v>
      </c>
      <c r="AR37" s="45">
        <f t="shared" si="15"/>
        <v>0</v>
      </c>
      <c r="AS37" s="45">
        <f t="shared" si="16"/>
        <v>0</v>
      </c>
      <c r="AT37" s="45">
        <f t="shared" si="17"/>
        <v>0</v>
      </c>
    </row>
    <row r="38" spans="2:46" ht="12.75">
      <c r="B38" s="37" t="s">
        <v>1013</v>
      </c>
      <c r="C38">
        <v>476000</v>
      </c>
      <c r="D38" s="53">
        <v>0.5</v>
      </c>
      <c r="E38" s="53">
        <v>0.4</v>
      </c>
      <c r="F38" s="53"/>
      <c r="G38" s="53">
        <v>0.1</v>
      </c>
      <c r="H38" s="53"/>
      <c r="I38" s="53">
        <f t="shared" si="18"/>
        <v>1</v>
      </c>
      <c r="J38" s="46">
        <v>0.28</v>
      </c>
      <c r="K38" s="46"/>
      <c r="L38" s="46"/>
      <c r="M38" s="46"/>
      <c r="N38" s="46"/>
      <c r="O38" s="46"/>
      <c r="P38" s="46"/>
      <c r="Q38" s="46"/>
      <c r="R38" s="46"/>
      <c r="S38" s="46">
        <v>0.03</v>
      </c>
      <c r="T38" s="46"/>
      <c r="U38" s="46"/>
      <c r="V38" s="46">
        <v>0.43</v>
      </c>
      <c r="W38" s="46">
        <v>0.25</v>
      </c>
      <c r="X38" s="46">
        <v>0.01</v>
      </c>
      <c r="Z38" s="53">
        <f t="shared" si="5"/>
        <v>1</v>
      </c>
      <c r="AB38" s="45">
        <f t="shared" si="6"/>
        <v>133280</v>
      </c>
      <c r="AC38" s="45">
        <f t="shared" si="19"/>
        <v>66640</v>
      </c>
      <c r="AD38" s="45">
        <f t="shared" si="20"/>
        <v>53312.00000000001</v>
      </c>
      <c r="AE38" s="45">
        <f t="shared" si="21"/>
        <v>0</v>
      </c>
      <c r="AF38" s="45">
        <f t="shared" si="22"/>
        <v>13328.000000000002</v>
      </c>
      <c r="AG38" s="45">
        <f t="shared" si="23"/>
        <v>0</v>
      </c>
      <c r="AH38" s="45">
        <f t="shared" si="24"/>
        <v>0</v>
      </c>
      <c r="AI38" s="45">
        <f t="shared" si="25"/>
        <v>0</v>
      </c>
      <c r="AJ38" s="45">
        <f t="shared" si="7"/>
        <v>0</v>
      </c>
      <c r="AK38" s="45">
        <f t="shared" si="8"/>
        <v>0</v>
      </c>
      <c r="AL38" s="45">
        <f t="shared" si="9"/>
        <v>0</v>
      </c>
      <c r="AM38" s="45">
        <f t="shared" si="10"/>
        <v>0</v>
      </c>
      <c r="AN38" s="45">
        <f t="shared" si="11"/>
        <v>0</v>
      </c>
      <c r="AO38" s="45">
        <f t="shared" si="12"/>
        <v>14280</v>
      </c>
      <c r="AP38" s="45">
        <f t="shared" si="13"/>
        <v>0</v>
      </c>
      <c r="AQ38" s="45">
        <f t="shared" si="14"/>
        <v>0</v>
      </c>
      <c r="AR38" s="45">
        <f t="shared" si="15"/>
        <v>204680</v>
      </c>
      <c r="AS38" s="45">
        <f t="shared" si="16"/>
        <v>119000</v>
      </c>
      <c r="AT38" s="45">
        <f t="shared" si="17"/>
        <v>4760</v>
      </c>
    </row>
    <row r="39" spans="2:46" ht="12.75">
      <c r="B39" s="37" t="s">
        <v>676</v>
      </c>
      <c r="C39">
        <v>138500</v>
      </c>
      <c r="D39" s="53">
        <v>0.8</v>
      </c>
      <c r="E39" s="53">
        <v>0.12</v>
      </c>
      <c r="F39" s="53"/>
      <c r="G39" s="53">
        <v>0.08</v>
      </c>
      <c r="H39" s="53"/>
      <c r="I39" s="53">
        <f t="shared" si="18"/>
        <v>1</v>
      </c>
      <c r="J39" s="46">
        <v>0.79</v>
      </c>
      <c r="K39" s="46">
        <f>0.08*0.8</f>
        <v>0.064</v>
      </c>
      <c r="L39" s="46">
        <f>0.08*0.2</f>
        <v>0.016</v>
      </c>
      <c r="M39" s="46"/>
      <c r="N39" s="46"/>
      <c r="O39" s="46">
        <v>0.015</v>
      </c>
      <c r="P39" s="46"/>
      <c r="Q39" s="46">
        <v>0.015</v>
      </c>
      <c r="R39" s="46">
        <v>0.02</v>
      </c>
      <c r="S39" s="46">
        <v>0.06</v>
      </c>
      <c r="T39" s="46">
        <v>0.01</v>
      </c>
      <c r="U39" s="46">
        <v>0.01</v>
      </c>
      <c r="V39" s="46"/>
      <c r="W39" s="46"/>
      <c r="X39" s="46"/>
      <c r="Z39" s="53">
        <f t="shared" si="5"/>
        <v>1.0000000000000002</v>
      </c>
      <c r="AB39" s="45">
        <f t="shared" si="6"/>
        <v>109415</v>
      </c>
      <c r="AC39" s="45">
        <f t="shared" si="19"/>
        <v>87532.00000000001</v>
      </c>
      <c r="AD39" s="45">
        <f t="shared" si="20"/>
        <v>13129.8</v>
      </c>
      <c r="AE39" s="45">
        <f t="shared" si="21"/>
        <v>0</v>
      </c>
      <c r="AF39" s="45">
        <f t="shared" si="22"/>
        <v>8753.2</v>
      </c>
      <c r="AG39" s="45">
        <f t="shared" si="23"/>
        <v>0</v>
      </c>
      <c r="AH39" s="45">
        <f t="shared" si="24"/>
        <v>8864</v>
      </c>
      <c r="AI39" s="45">
        <f t="shared" si="25"/>
        <v>2216</v>
      </c>
      <c r="AJ39" s="45">
        <f t="shared" si="7"/>
        <v>0</v>
      </c>
      <c r="AK39" s="45">
        <f t="shared" si="8"/>
        <v>2077.5</v>
      </c>
      <c r="AL39" s="45">
        <f t="shared" si="9"/>
        <v>0</v>
      </c>
      <c r="AM39" s="45">
        <f t="shared" si="10"/>
        <v>2077.5</v>
      </c>
      <c r="AN39" s="45">
        <f t="shared" si="11"/>
        <v>2770</v>
      </c>
      <c r="AO39" s="45">
        <f t="shared" si="12"/>
        <v>8310</v>
      </c>
      <c r="AP39" s="45">
        <f t="shared" si="13"/>
        <v>1385</v>
      </c>
      <c r="AQ39" s="45">
        <f t="shared" si="14"/>
        <v>1385</v>
      </c>
      <c r="AR39" s="45">
        <f t="shared" si="15"/>
        <v>0</v>
      </c>
      <c r="AS39" s="45">
        <f t="shared" si="16"/>
        <v>0</v>
      </c>
      <c r="AT39" s="45">
        <f t="shared" si="17"/>
        <v>0</v>
      </c>
    </row>
    <row r="40" spans="2:46" ht="12.75">
      <c r="B40" s="37" t="s">
        <v>989</v>
      </c>
      <c r="C40">
        <v>380000</v>
      </c>
      <c r="D40" s="53">
        <v>0.2</v>
      </c>
      <c r="E40" s="53">
        <v>0.8</v>
      </c>
      <c r="F40" s="53"/>
      <c r="G40" s="53"/>
      <c r="H40" s="53"/>
      <c r="I40" s="53">
        <f t="shared" si="18"/>
        <v>1</v>
      </c>
      <c r="J40" s="46">
        <v>0.79</v>
      </c>
      <c r="K40" s="46"/>
      <c r="L40" s="46">
        <v>0.03</v>
      </c>
      <c r="M40" s="46"/>
      <c r="N40" s="46"/>
      <c r="O40" s="46">
        <v>0.02</v>
      </c>
      <c r="P40" s="46"/>
      <c r="Q40" s="46">
        <v>0.02</v>
      </c>
      <c r="R40" s="46">
        <v>0.02</v>
      </c>
      <c r="S40" s="46">
        <v>0.09</v>
      </c>
      <c r="T40" s="46">
        <v>0.01</v>
      </c>
      <c r="U40" s="46">
        <v>0.02</v>
      </c>
      <c r="V40" s="46"/>
      <c r="W40" s="46"/>
      <c r="X40" s="46"/>
      <c r="Z40" s="53">
        <f t="shared" si="5"/>
        <v>1</v>
      </c>
      <c r="AB40" s="45">
        <f t="shared" si="6"/>
        <v>300200</v>
      </c>
      <c r="AC40" s="45">
        <f t="shared" si="19"/>
        <v>60040.000000000015</v>
      </c>
      <c r="AD40" s="45">
        <f t="shared" si="20"/>
        <v>240160.00000000006</v>
      </c>
      <c r="AE40" s="45">
        <f t="shared" si="21"/>
        <v>0</v>
      </c>
      <c r="AF40" s="45">
        <f t="shared" si="22"/>
        <v>0</v>
      </c>
      <c r="AG40" s="45">
        <f t="shared" si="23"/>
        <v>0</v>
      </c>
      <c r="AH40" s="45">
        <f t="shared" si="24"/>
        <v>0</v>
      </c>
      <c r="AI40" s="45">
        <f t="shared" si="25"/>
        <v>11400</v>
      </c>
      <c r="AJ40" s="45">
        <f t="shared" si="7"/>
        <v>0</v>
      </c>
      <c r="AK40" s="45">
        <f t="shared" si="8"/>
        <v>7600</v>
      </c>
      <c r="AL40" s="45">
        <f t="shared" si="9"/>
        <v>0</v>
      </c>
      <c r="AM40" s="45">
        <f t="shared" si="10"/>
        <v>7600</v>
      </c>
      <c r="AN40" s="45">
        <f t="shared" si="11"/>
        <v>7600</v>
      </c>
      <c r="AO40" s="45">
        <f t="shared" si="12"/>
        <v>34200</v>
      </c>
      <c r="AP40" s="45">
        <f t="shared" si="13"/>
        <v>3800</v>
      </c>
      <c r="AQ40" s="45">
        <f t="shared" si="14"/>
        <v>7600</v>
      </c>
      <c r="AR40" s="45">
        <f t="shared" si="15"/>
        <v>0</v>
      </c>
      <c r="AS40" s="45">
        <f t="shared" si="16"/>
        <v>0</v>
      </c>
      <c r="AT40" s="45">
        <f t="shared" si="17"/>
        <v>0</v>
      </c>
    </row>
    <row r="41" spans="2:46" ht="12.75">
      <c r="B41" s="37" t="s">
        <v>677</v>
      </c>
      <c r="C41">
        <v>35000</v>
      </c>
      <c r="D41" s="53"/>
      <c r="E41" s="53"/>
      <c r="F41" s="53">
        <v>0.15</v>
      </c>
      <c r="G41" s="53">
        <v>0.85</v>
      </c>
      <c r="H41" s="53"/>
      <c r="I41" s="53">
        <f t="shared" si="18"/>
        <v>1</v>
      </c>
      <c r="J41" s="46">
        <v>0.37</v>
      </c>
      <c r="K41" s="46"/>
      <c r="L41" s="46"/>
      <c r="M41" s="46"/>
      <c r="N41" s="46"/>
      <c r="O41" s="46"/>
      <c r="P41" s="46"/>
      <c r="Q41" s="46"/>
      <c r="R41" s="46">
        <v>0.05</v>
      </c>
      <c r="S41" s="46">
        <v>0.07</v>
      </c>
      <c r="T41" s="46"/>
      <c r="U41" s="46">
        <v>0.03</v>
      </c>
      <c r="V41" s="46">
        <v>0.2</v>
      </c>
      <c r="W41" s="46">
        <v>0.28</v>
      </c>
      <c r="X41" s="46"/>
      <c r="Z41" s="53">
        <f t="shared" si="5"/>
        <v>1</v>
      </c>
      <c r="AB41" s="45">
        <f t="shared" si="6"/>
        <v>12950</v>
      </c>
      <c r="AC41" s="45">
        <f t="shared" si="19"/>
        <v>0</v>
      </c>
      <c r="AD41" s="45">
        <f t="shared" si="20"/>
        <v>0</v>
      </c>
      <c r="AE41" s="45">
        <f t="shared" si="21"/>
        <v>1942.5</v>
      </c>
      <c r="AF41" s="45">
        <f t="shared" si="22"/>
        <v>11007.5</v>
      </c>
      <c r="AG41" s="45">
        <f t="shared" si="23"/>
        <v>0</v>
      </c>
      <c r="AH41" s="45">
        <f t="shared" si="24"/>
        <v>0</v>
      </c>
      <c r="AI41" s="45">
        <f t="shared" si="25"/>
        <v>0</v>
      </c>
      <c r="AJ41" s="45">
        <f t="shared" si="7"/>
        <v>0</v>
      </c>
      <c r="AK41" s="45">
        <f t="shared" si="8"/>
        <v>0</v>
      </c>
      <c r="AL41" s="45">
        <f t="shared" si="9"/>
        <v>0</v>
      </c>
      <c r="AM41" s="45">
        <f t="shared" si="10"/>
        <v>0</v>
      </c>
      <c r="AN41" s="45">
        <f t="shared" si="11"/>
        <v>1750</v>
      </c>
      <c r="AO41" s="45">
        <f t="shared" si="12"/>
        <v>2450.0000000000005</v>
      </c>
      <c r="AP41" s="45">
        <f t="shared" si="13"/>
        <v>0</v>
      </c>
      <c r="AQ41" s="45">
        <f t="shared" si="14"/>
        <v>1050</v>
      </c>
      <c r="AR41" s="45">
        <f t="shared" si="15"/>
        <v>7000</v>
      </c>
      <c r="AS41" s="45">
        <f t="shared" si="16"/>
        <v>9800.000000000002</v>
      </c>
      <c r="AT41" s="45">
        <f t="shared" si="17"/>
        <v>0</v>
      </c>
    </row>
    <row r="42" spans="2:46" ht="12.75">
      <c r="B42" s="37" t="s">
        <v>678</v>
      </c>
      <c r="C42">
        <v>50000</v>
      </c>
      <c r="D42" s="53">
        <v>1</v>
      </c>
      <c r="E42" s="53"/>
      <c r="F42" s="53"/>
      <c r="G42" s="53"/>
      <c r="H42" s="53"/>
      <c r="I42" s="53">
        <f t="shared" si="18"/>
        <v>1</v>
      </c>
      <c r="J42" s="46">
        <v>0.96</v>
      </c>
      <c r="K42" s="46"/>
      <c r="L42" s="46"/>
      <c r="M42" s="46"/>
      <c r="N42" s="46"/>
      <c r="O42" s="46">
        <v>0.005</v>
      </c>
      <c r="P42" s="46"/>
      <c r="Q42" s="46">
        <v>0.005</v>
      </c>
      <c r="R42" s="46"/>
      <c r="S42" s="46">
        <v>0.02</v>
      </c>
      <c r="T42" s="46"/>
      <c r="U42" s="46"/>
      <c r="V42" s="46"/>
      <c r="W42" s="46"/>
      <c r="X42" s="46">
        <v>0.01</v>
      </c>
      <c r="Z42" s="53">
        <f aca="true" t="shared" si="26" ref="Z42:Z73">SUM(J42:X42)</f>
        <v>1</v>
      </c>
      <c r="AB42" s="45">
        <f aca="true" t="shared" si="27" ref="AB42:AB73">$C42*J42</f>
        <v>48000</v>
      </c>
      <c r="AC42" s="45">
        <f t="shared" si="19"/>
        <v>48000</v>
      </c>
      <c r="AD42" s="45">
        <f t="shared" si="20"/>
        <v>0</v>
      </c>
      <c r="AE42" s="45">
        <f t="shared" si="21"/>
        <v>0</v>
      </c>
      <c r="AF42" s="45">
        <f t="shared" si="22"/>
        <v>0</v>
      </c>
      <c r="AG42" s="45">
        <f t="shared" si="23"/>
        <v>0</v>
      </c>
      <c r="AH42" s="45">
        <f t="shared" si="24"/>
        <v>0</v>
      </c>
      <c r="AI42" s="45">
        <f t="shared" si="25"/>
        <v>0</v>
      </c>
      <c r="AJ42" s="45">
        <f aca="true" t="shared" si="28" ref="AJ42:AJ73">$C42*N42</f>
        <v>0</v>
      </c>
      <c r="AK42" s="45">
        <f aca="true" t="shared" si="29" ref="AK42:AK73">$C42*O42</f>
        <v>250</v>
      </c>
      <c r="AL42" s="45">
        <f aca="true" t="shared" si="30" ref="AL42:AL73">$C42*P42</f>
        <v>0</v>
      </c>
      <c r="AM42" s="45">
        <f aca="true" t="shared" si="31" ref="AM42:AM73">$C42*Q42</f>
        <v>250</v>
      </c>
      <c r="AN42" s="45">
        <f aca="true" t="shared" si="32" ref="AN42:AN73">$C42*R42</f>
        <v>0</v>
      </c>
      <c r="AO42" s="45">
        <f aca="true" t="shared" si="33" ref="AO42:AO73">$C42*S42</f>
        <v>1000</v>
      </c>
      <c r="AP42" s="45">
        <f aca="true" t="shared" si="34" ref="AP42:AP73">$C42*T42</f>
        <v>0</v>
      </c>
      <c r="AQ42" s="45">
        <f aca="true" t="shared" si="35" ref="AQ42:AQ73">$C42*U42</f>
        <v>0</v>
      </c>
      <c r="AR42" s="45">
        <f aca="true" t="shared" si="36" ref="AR42:AR73">$C42*V42</f>
        <v>0</v>
      </c>
      <c r="AS42" s="45">
        <f aca="true" t="shared" si="37" ref="AS42:AS73">$C42*W42</f>
        <v>0</v>
      </c>
      <c r="AT42" s="45">
        <f aca="true" t="shared" si="38" ref="AT42:AT73">$C42*X42</f>
        <v>500</v>
      </c>
    </row>
    <row r="43" spans="2:46" ht="12.75">
      <c r="B43" s="37" t="s">
        <v>679</v>
      </c>
      <c r="C43">
        <v>154000</v>
      </c>
      <c r="D43" s="53">
        <v>0.8</v>
      </c>
      <c r="E43" s="53">
        <v>0.2</v>
      </c>
      <c r="F43" s="53"/>
      <c r="G43" s="53"/>
      <c r="H43" s="53"/>
      <c r="I43" s="53">
        <f t="shared" si="18"/>
        <v>1</v>
      </c>
      <c r="J43" s="46">
        <v>0.79</v>
      </c>
      <c r="K43" s="46"/>
      <c r="L43" s="46">
        <v>0.03</v>
      </c>
      <c r="M43" s="46"/>
      <c r="N43" s="46"/>
      <c r="O43" s="46">
        <v>0.025</v>
      </c>
      <c r="P43" s="46"/>
      <c r="Q43" s="46">
        <v>0.025</v>
      </c>
      <c r="R43" s="46">
        <v>0.02</v>
      </c>
      <c r="S43" s="46">
        <v>0.09</v>
      </c>
      <c r="T43" s="46">
        <v>0.01</v>
      </c>
      <c r="U43" s="46">
        <v>0.01</v>
      </c>
      <c r="V43" s="46"/>
      <c r="W43" s="46"/>
      <c r="X43" s="46"/>
      <c r="Z43" s="53">
        <f t="shared" si="26"/>
        <v>1</v>
      </c>
      <c r="AB43" s="45">
        <f t="shared" si="27"/>
        <v>121660</v>
      </c>
      <c r="AC43" s="45">
        <f t="shared" si="19"/>
        <v>97328.00000000001</v>
      </c>
      <c r="AD43" s="45">
        <f t="shared" si="20"/>
        <v>24332.000000000004</v>
      </c>
      <c r="AE43" s="45">
        <f t="shared" si="21"/>
        <v>0</v>
      </c>
      <c r="AF43" s="45">
        <f t="shared" si="22"/>
        <v>0</v>
      </c>
      <c r="AG43" s="45">
        <f t="shared" si="23"/>
        <v>0</v>
      </c>
      <c r="AH43" s="45">
        <f t="shared" si="24"/>
        <v>0</v>
      </c>
      <c r="AI43" s="45">
        <f t="shared" si="25"/>
        <v>4620</v>
      </c>
      <c r="AJ43" s="45">
        <f t="shared" si="28"/>
        <v>0</v>
      </c>
      <c r="AK43" s="45">
        <f t="shared" si="29"/>
        <v>3850</v>
      </c>
      <c r="AL43" s="45">
        <f t="shared" si="30"/>
        <v>0</v>
      </c>
      <c r="AM43" s="45">
        <f t="shared" si="31"/>
        <v>3850</v>
      </c>
      <c r="AN43" s="45">
        <f t="shared" si="32"/>
        <v>3080</v>
      </c>
      <c r="AO43" s="45">
        <f t="shared" si="33"/>
        <v>13860</v>
      </c>
      <c r="AP43" s="45">
        <f t="shared" si="34"/>
        <v>1540</v>
      </c>
      <c r="AQ43" s="45">
        <f t="shared" si="35"/>
        <v>1540</v>
      </c>
      <c r="AR43" s="45">
        <f t="shared" si="36"/>
        <v>0</v>
      </c>
      <c r="AS43" s="45">
        <f t="shared" si="37"/>
        <v>0</v>
      </c>
      <c r="AT43" s="45">
        <f t="shared" si="38"/>
        <v>0</v>
      </c>
    </row>
    <row r="44" spans="2:46" ht="12.75">
      <c r="B44" s="37" t="s">
        <v>680</v>
      </c>
      <c r="C44">
        <v>420000</v>
      </c>
      <c r="D44" s="53">
        <v>0.7</v>
      </c>
      <c r="E44" s="53">
        <v>0.15</v>
      </c>
      <c r="F44" s="53"/>
      <c r="G44" s="53">
        <v>0.1</v>
      </c>
      <c r="H44" s="53">
        <v>0.05</v>
      </c>
      <c r="I44" s="53">
        <f t="shared" si="18"/>
        <v>1</v>
      </c>
      <c r="J44" s="46">
        <v>0.79</v>
      </c>
      <c r="K44" s="46"/>
      <c r="L44" s="46">
        <v>0.03</v>
      </c>
      <c r="M44" s="46"/>
      <c r="N44" s="46"/>
      <c r="O44" s="46">
        <v>0.02</v>
      </c>
      <c r="P44" s="46"/>
      <c r="Q44" s="46">
        <v>0.02</v>
      </c>
      <c r="R44" s="46">
        <v>0.02</v>
      </c>
      <c r="S44" s="46">
        <v>0.08</v>
      </c>
      <c r="T44" s="46">
        <v>0.01</v>
      </c>
      <c r="U44" s="46">
        <v>0.01</v>
      </c>
      <c r="V44" s="46"/>
      <c r="W44" s="46"/>
      <c r="X44" s="46">
        <v>0.02</v>
      </c>
      <c r="Z44" s="53">
        <f t="shared" si="26"/>
        <v>1</v>
      </c>
      <c r="AB44" s="45">
        <f t="shared" si="27"/>
        <v>331800</v>
      </c>
      <c r="AC44" s="45">
        <f t="shared" si="19"/>
        <v>232259.99999999997</v>
      </c>
      <c r="AD44" s="45">
        <f t="shared" si="20"/>
        <v>49770</v>
      </c>
      <c r="AE44" s="45">
        <f t="shared" si="21"/>
        <v>0</v>
      </c>
      <c r="AF44" s="45">
        <f t="shared" si="22"/>
        <v>33180.00000000001</v>
      </c>
      <c r="AG44" s="45">
        <f t="shared" si="23"/>
        <v>16590.000000000004</v>
      </c>
      <c r="AH44" s="45">
        <f t="shared" si="24"/>
        <v>0</v>
      </c>
      <c r="AI44" s="45">
        <f t="shared" si="25"/>
        <v>12600</v>
      </c>
      <c r="AJ44" s="45">
        <f t="shared" si="28"/>
        <v>0</v>
      </c>
      <c r="AK44" s="45">
        <f t="shared" si="29"/>
        <v>8400</v>
      </c>
      <c r="AL44" s="45">
        <f t="shared" si="30"/>
        <v>0</v>
      </c>
      <c r="AM44" s="45">
        <f t="shared" si="31"/>
        <v>8400</v>
      </c>
      <c r="AN44" s="45">
        <f t="shared" si="32"/>
        <v>8400</v>
      </c>
      <c r="AO44" s="45">
        <f t="shared" si="33"/>
        <v>33600</v>
      </c>
      <c r="AP44" s="45">
        <f t="shared" si="34"/>
        <v>4200</v>
      </c>
      <c r="AQ44" s="45">
        <f t="shared" si="35"/>
        <v>4200</v>
      </c>
      <c r="AR44" s="45">
        <f t="shared" si="36"/>
        <v>0</v>
      </c>
      <c r="AS44" s="45">
        <f t="shared" si="37"/>
        <v>0</v>
      </c>
      <c r="AT44" s="45">
        <f t="shared" si="38"/>
        <v>8400</v>
      </c>
    </row>
    <row r="45" spans="2:46" ht="12.75">
      <c r="B45" s="37" t="s">
        <v>681</v>
      </c>
      <c r="C45">
        <v>27000</v>
      </c>
      <c r="D45" s="53">
        <v>0.1</v>
      </c>
      <c r="E45" s="53">
        <v>0.85</v>
      </c>
      <c r="F45" s="53"/>
      <c r="G45" s="53">
        <v>0.05</v>
      </c>
      <c r="H45" s="53"/>
      <c r="I45" s="53">
        <f t="shared" si="18"/>
        <v>1</v>
      </c>
      <c r="J45" s="46">
        <v>0.79</v>
      </c>
      <c r="K45" s="46"/>
      <c r="L45" s="46">
        <v>0.03</v>
      </c>
      <c r="M45" s="46"/>
      <c r="N45" s="46"/>
      <c r="O45" s="46">
        <v>0.025</v>
      </c>
      <c r="P45" s="46"/>
      <c r="Q45" s="46">
        <v>0.025</v>
      </c>
      <c r="R45" s="46">
        <v>0.02</v>
      </c>
      <c r="S45" s="46">
        <v>0.09</v>
      </c>
      <c r="T45" s="46">
        <v>0.01</v>
      </c>
      <c r="U45" s="46">
        <v>0.01</v>
      </c>
      <c r="V45" s="46"/>
      <c r="W45" s="46"/>
      <c r="X45" s="46"/>
      <c r="Z45" s="53">
        <f t="shared" si="26"/>
        <v>1</v>
      </c>
      <c r="AB45" s="45">
        <f t="shared" si="27"/>
        <v>21330</v>
      </c>
      <c r="AC45" s="45">
        <f t="shared" si="19"/>
        <v>2133.0000000000005</v>
      </c>
      <c r="AD45" s="45">
        <f t="shared" si="20"/>
        <v>18130.5</v>
      </c>
      <c r="AE45" s="45">
        <f t="shared" si="21"/>
        <v>0</v>
      </c>
      <c r="AF45" s="45">
        <f t="shared" si="22"/>
        <v>1066.5000000000002</v>
      </c>
      <c r="AG45" s="45">
        <f t="shared" si="23"/>
        <v>0</v>
      </c>
      <c r="AH45" s="45">
        <f t="shared" si="24"/>
        <v>0</v>
      </c>
      <c r="AI45" s="45">
        <f t="shared" si="25"/>
        <v>810</v>
      </c>
      <c r="AJ45" s="45">
        <f t="shared" si="28"/>
        <v>0</v>
      </c>
      <c r="AK45" s="45">
        <f t="shared" si="29"/>
        <v>675</v>
      </c>
      <c r="AL45" s="45">
        <f t="shared" si="30"/>
        <v>0</v>
      </c>
      <c r="AM45" s="45">
        <f t="shared" si="31"/>
        <v>675</v>
      </c>
      <c r="AN45" s="45">
        <f t="shared" si="32"/>
        <v>540</v>
      </c>
      <c r="AO45" s="45">
        <f t="shared" si="33"/>
        <v>2430</v>
      </c>
      <c r="AP45" s="45">
        <f t="shared" si="34"/>
        <v>270</v>
      </c>
      <c r="AQ45" s="45">
        <f t="shared" si="35"/>
        <v>270</v>
      </c>
      <c r="AR45" s="45">
        <f t="shared" si="36"/>
        <v>0</v>
      </c>
      <c r="AS45" s="45">
        <f t="shared" si="37"/>
        <v>0</v>
      </c>
      <c r="AT45" s="45">
        <f t="shared" si="38"/>
        <v>0</v>
      </c>
    </row>
    <row r="46" spans="2:46" ht="12.75">
      <c r="B46" s="37" t="s">
        <v>682</v>
      </c>
      <c r="C46">
        <v>209000</v>
      </c>
      <c r="D46" s="53">
        <v>1</v>
      </c>
      <c r="E46" s="53"/>
      <c r="F46" s="53"/>
      <c r="G46" s="53"/>
      <c r="H46" s="53"/>
      <c r="I46" s="53">
        <f t="shared" si="18"/>
        <v>1</v>
      </c>
      <c r="J46" s="46">
        <v>0.79</v>
      </c>
      <c r="K46" s="46">
        <f>0.08*0.6</f>
        <v>0.048</v>
      </c>
      <c r="L46" s="46">
        <f>0.08*0.4</f>
        <v>0.032</v>
      </c>
      <c r="M46" s="46"/>
      <c r="N46" s="46"/>
      <c r="O46" s="46">
        <v>0.015</v>
      </c>
      <c r="P46" s="46"/>
      <c r="Q46" s="46">
        <v>0.015</v>
      </c>
      <c r="R46" s="46">
        <v>0.02</v>
      </c>
      <c r="S46" s="46">
        <v>0.06</v>
      </c>
      <c r="T46" s="46">
        <v>0.01</v>
      </c>
      <c r="U46" s="46">
        <v>0.01</v>
      </c>
      <c r="V46" s="46"/>
      <c r="W46" s="46"/>
      <c r="X46" s="46"/>
      <c r="Z46" s="53">
        <f t="shared" si="26"/>
        <v>1.0000000000000002</v>
      </c>
      <c r="AB46" s="45">
        <f t="shared" si="27"/>
        <v>165110</v>
      </c>
      <c r="AC46" s="45">
        <f t="shared" si="19"/>
        <v>165110</v>
      </c>
      <c r="AD46" s="45">
        <f t="shared" si="20"/>
        <v>0</v>
      </c>
      <c r="AE46" s="45">
        <f t="shared" si="21"/>
        <v>0</v>
      </c>
      <c r="AF46" s="45">
        <f t="shared" si="22"/>
        <v>0</v>
      </c>
      <c r="AG46" s="45">
        <f t="shared" si="23"/>
        <v>0</v>
      </c>
      <c r="AH46" s="45">
        <f t="shared" si="24"/>
        <v>10032</v>
      </c>
      <c r="AI46" s="45">
        <f t="shared" si="25"/>
        <v>6688</v>
      </c>
      <c r="AJ46" s="45">
        <f t="shared" si="28"/>
        <v>0</v>
      </c>
      <c r="AK46" s="45">
        <f t="shared" si="29"/>
        <v>3135</v>
      </c>
      <c r="AL46" s="45">
        <f t="shared" si="30"/>
        <v>0</v>
      </c>
      <c r="AM46" s="45">
        <f t="shared" si="31"/>
        <v>3135</v>
      </c>
      <c r="AN46" s="45">
        <f t="shared" si="32"/>
        <v>4180</v>
      </c>
      <c r="AO46" s="45">
        <f t="shared" si="33"/>
        <v>12540</v>
      </c>
      <c r="AP46" s="45">
        <f t="shared" si="34"/>
        <v>2090</v>
      </c>
      <c r="AQ46" s="45">
        <f t="shared" si="35"/>
        <v>2090</v>
      </c>
      <c r="AR46" s="45">
        <f t="shared" si="36"/>
        <v>0</v>
      </c>
      <c r="AS46" s="45">
        <f t="shared" si="37"/>
        <v>0</v>
      </c>
      <c r="AT46" s="45">
        <f t="shared" si="38"/>
        <v>0</v>
      </c>
    </row>
    <row r="47" spans="2:46" ht="12.75">
      <c r="B47" s="37" t="s">
        <v>683</v>
      </c>
      <c r="C47">
        <v>144000</v>
      </c>
      <c r="D47" s="53">
        <v>0.25</v>
      </c>
      <c r="E47" s="53">
        <v>0.4</v>
      </c>
      <c r="F47" s="53"/>
      <c r="G47" s="53">
        <v>0.35</v>
      </c>
      <c r="H47" s="53"/>
      <c r="I47" s="53">
        <f t="shared" si="18"/>
        <v>1</v>
      </c>
      <c r="J47" s="46">
        <v>0.79</v>
      </c>
      <c r="K47" s="46">
        <v>0.08</v>
      </c>
      <c r="L47" s="46"/>
      <c r="M47" s="46"/>
      <c r="N47" s="46"/>
      <c r="O47" s="46">
        <v>0.01</v>
      </c>
      <c r="P47" s="46"/>
      <c r="Q47" s="46">
        <v>0.01</v>
      </c>
      <c r="R47" s="46">
        <v>0.03</v>
      </c>
      <c r="S47" s="46">
        <v>0.06</v>
      </c>
      <c r="T47" s="46">
        <v>0.01</v>
      </c>
      <c r="U47" s="46">
        <v>0.01</v>
      </c>
      <c r="V47" s="46"/>
      <c r="W47" s="46"/>
      <c r="X47" s="46"/>
      <c r="Z47" s="53">
        <f t="shared" si="26"/>
        <v>1</v>
      </c>
      <c r="AB47" s="45">
        <f t="shared" si="27"/>
        <v>113760</v>
      </c>
      <c r="AC47" s="45">
        <f t="shared" si="19"/>
        <v>28440</v>
      </c>
      <c r="AD47" s="45">
        <f t="shared" si="20"/>
        <v>45504.00000000001</v>
      </c>
      <c r="AE47" s="45">
        <f t="shared" si="21"/>
        <v>0</v>
      </c>
      <c r="AF47" s="45">
        <f t="shared" si="22"/>
        <v>39815.99999999999</v>
      </c>
      <c r="AG47" s="45">
        <f t="shared" si="23"/>
        <v>0</v>
      </c>
      <c r="AH47" s="45">
        <f t="shared" si="24"/>
        <v>11520</v>
      </c>
      <c r="AI47" s="45">
        <f t="shared" si="25"/>
        <v>0</v>
      </c>
      <c r="AJ47" s="45">
        <f t="shared" si="28"/>
        <v>0</v>
      </c>
      <c r="AK47" s="45">
        <f t="shared" si="29"/>
        <v>1440</v>
      </c>
      <c r="AL47" s="45">
        <f t="shared" si="30"/>
        <v>0</v>
      </c>
      <c r="AM47" s="45">
        <f t="shared" si="31"/>
        <v>1440</v>
      </c>
      <c r="AN47" s="45">
        <f t="shared" si="32"/>
        <v>4320</v>
      </c>
      <c r="AO47" s="45">
        <f t="shared" si="33"/>
        <v>8640</v>
      </c>
      <c r="AP47" s="45">
        <f t="shared" si="34"/>
        <v>1440</v>
      </c>
      <c r="AQ47" s="45">
        <f t="shared" si="35"/>
        <v>1440</v>
      </c>
      <c r="AR47" s="45">
        <f t="shared" si="36"/>
        <v>0</v>
      </c>
      <c r="AS47" s="45">
        <f t="shared" si="37"/>
        <v>0</v>
      </c>
      <c r="AT47" s="45">
        <f t="shared" si="38"/>
        <v>0</v>
      </c>
    </row>
    <row r="48" spans="2:46" ht="12.75">
      <c r="B48" s="37" t="s">
        <v>684</v>
      </c>
      <c r="C48">
        <v>55000</v>
      </c>
      <c r="D48" s="53">
        <v>0.4</v>
      </c>
      <c r="E48" s="53"/>
      <c r="F48" s="53"/>
      <c r="G48" s="53">
        <v>0.6</v>
      </c>
      <c r="H48" s="53"/>
      <c r="I48" s="53">
        <f t="shared" si="18"/>
        <v>1</v>
      </c>
      <c r="J48" s="46">
        <v>0.96</v>
      </c>
      <c r="K48" s="46"/>
      <c r="L48" s="46">
        <v>0.01</v>
      </c>
      <c r="M48" s="46"/>
      <c r="N48" s="46"/>
      <c r="O48" s="46"/>
      <c r="P48" s="46"/>
      <c r="Q48" s="46"/>
      <c r="R48" s="46"/>
      <c r="S48" s="46"/>
      <c r="T48" s="46"/>
      <c r="U48" s="46"/>
      <c r="V48" s="46">
        <v>0.02</v>
      </c>
      <c r="W48" s="46"/>
      <c r="X48" s="46">
        <v>0.01</v>
      </c>
      <c r="Z48" s="53">
        <f t="shared" si="26"/>
        <v>1</v>
      </c>
      <c r="AB48" s="45">
        <f t="shared" si="27"/>
        <v>52800</v>
      </c>
      <c r="AC48" s="45">
        <f t="shared" si="19"/>
        <v>21120</v>
      </c>
      <c r="AD48" s="45">
        <f t="shared" si="20"/>
        <v>0</v>
      </c>
      <c r="AE48" s="45">
        <f t="shared" si="21"/>
        <v>0</v>
      </c>
      <c r="AF48" s="45">
        <f t="shared" si="22"/>
        <v>31679.999999999996</v>
      </c>
      <c r="AG48" s="45">
        <f t="shared" si="23"/>
        <v>0</v>
      </c>
      <c r="AH48" s="45">
        <f t="shared" si="24"/>
        <v>0</v>
      </c>
      <c r="AI48" s="45">
        <f t="shared" si="25"/>
        <v>550</v>
      </c>
      <c r="AJ48" s="45">
        <f t="shared" si="28"/>
        <v>0</v>
      </c>
      <c r="AK48" s="45">
        <f t="shared" si="29"/>
        <v>0</v>
      </c>
      <c r="AL48" s="45">
        <f t="shared" si="30"/>
        <v>0</v>
      </c>
      <c r="AM48" s="45">
        <f t="shared" si="31"/>
        <v>0</v>
      </c>
      <c r="AN48" s="45">
        <f t="shared" si="32"/>
        <v>0</v>
      </c>
      <c r="AO48" s="45">
        <f t="shared" si="33"/>
        <v>0</v>
      </c>
      <c r="AP48" s="45">
        <f t="shared" si="34"/>
        <v>0</v>
      </c>
      <c r="AQ48" s="45">
        <f t="shared" si="35"/>
        <v>0</v>
      </c>
      <c r="AR48" s="45">
        <f t="shared" si="36"/>
        <v>1100</v>
      </c>
      <c r="AS48" s="45">
        <f t="shared" si="37"/>
        <v>0</v>
      </c>
      <c r="AT48" s="45">
        <f t="shared" si="38"/>
        <v>550</v>
      </c>
    </row>
    <row r="49" spans="2:46" ht="12.75">
      <c r="B49" s="37" t="s">
        <v>685</v>
      </c>
      <c r="C49">
        <v>125000</v>
      </c>
      <c r="D49" s="53">
        <v>0.4</v>
      </c>
      <c r="E49" s="53">
        <v>0.6</v>
      </c>
      <c r="F49" s="53"/>
      <c r="G49" s="53"/>
      <c r="H49" s="53"/>
      <c r="I49" s="53">
        <f t="shared" si="18"/>
        <v>1</v>
      </c>
      <c r="J49" s="46">
        <v>0.79</v>
      </c>
      <c r="K49" s="46">
        <v>0.025</v>
      </c>
      <c r="L49" s="46">
        <v>0.025</v>
      </c>
      <c r="M49" s="46"/>
      <c r="N49" s="46"/>
      <c r="O49" s="46"/>
      <c r="P49" s="46">
        <v>0.09</v>
      </c>
      <c r="Q49" s="46"/>
      <c r="R49" s="46">
        <v>0.03</v>
      </c>
      <c r="S49" s="46">
        <v>0.02</v>
      </c>
      <c r="T49" s="46">
        <v>0.01</v>
      </c>
      <c r="U49" s="46"/>
      <c r="V49" s="46"/>
      <c r="W49" s="46"/>
      <c r="X49" s="46">
        <v>0.01</v>
      </c>
      <c r="Z49" s="53">
        <f t="shared" si="26"/>
        <v>1</v>
      </c>
      <c r="AB49" s="45">
        <f t="shared" si="27"/>
        <v>98750</v>
      </c>
      <c r="AC49" s="45">
        <f t="shared" si="19"/>
        <v>39500.00000000001</v>
      </c>
      <c r="AD49" s="45">
        <f t="shared" si="20"/>
        <v>59250</v>
      </c>
      <c r="AE49" s="45">
        <f t="shared" si="21"/>
        <v>0</v>
      </c>
      <c r="AF49" s="45">
        <f t="shared" si="22"/>
        <v>0</v>
      </c>
      <c r="AG49" s="45">
        <f t="shared" si="23"/>
        <v>0</v>
      </c>
      <c r="AH49" s="45">
        <f t="shared" si="24"/>
        <v>3125</v>
      </c>
      <c r="AI49" s="45">
        <f t="shared" si="25"/>
        <v>3125</v>
      </c>
      <c r="AJ49" s="45">
        <f t="shared" si="28"/>
        <v>0</v>
      </c>
      <c r="AK49" s="45">
        <f t="shared" si="29"/>
        <v>0</v>
      </c>
      <c r="AL49" s="45">
        <f t="shared" si="30"/>
        <v>11250</v>
      </c>
      <c r="AM49" s="45">
        <f t="shared" si="31"/>
        <v>0</v>
      </c>
      <c r="AN49" s="45">
        <f t="shared" si="32"/>
        <v>3750</v>
      </c>
      <c r="AO49" s="45">
        <f t="shared" si="33"/>
        <v>2500</v>
      </c>
      <c r="AP49" s="45">
        <f t="shared" si="34"/>
        <v>1250</v>
      </c>
      <c r="AQ49" s="45">
        <f t="shared" si="35"/>
        <v>0</v>
      </c>
      <c r="AR49" s="45">
        <f t="shared" si="36"/>
        <v>0</v>
      </c>
      <c r="AS49" s="45">
        <f t="shared" si="37"/>
        <v>0</v>
      </c>
      <c r="AT49" s="45">
        <f t="shared" si="38"/>
        <v>1250</v>
      </c>
    </row>
    <row r="50" spans="2:46" ht="12.75">
      <c r="B50" s="37" t="s">
        <v>686</v>
      </c>
      <c r="C50">
        <v>195000</v>
      </c>
      <c r="D50" s="53"/>
      <c r="E50" s="53"/>
      <c r="F50" s="53"/>
      <c r="G50" s="53">
        <v>1</v>
      </c>
      <c r="H50" s="53"/>
      <c r="I50" s="53">
        <f t="shared" si="18"/>
        <v>1</v>
      </c>
      <c r="J50" s="46">
        <v>0.78</v>
      </c>
      <c r="K50" s="46"/>
      <c r="L50" s="46">
        <v>0.03</v>
      </c>
      <c r="M50" s="46"/>
      <c r="N50" s="46"/>
      <c r="O50" s="46">
        <v>0.02</v>
      </c>
      <c r="P50" s="46"/>
      <c r="Q50" s="46">
        <v>0.02</v>
      </c>
      <c r="R50" s="46">
        <v>0.02</v>
      </c>
      <c r="S50" s="46">
        <v>0.09</v>
      </c>
      <c r="T50" s="46">
        <v>0.01</v>
      </c>
      <c r="U50" s="46">
        <v>0.01</v>
      </c>
      <c r="V50" s="46"/>
      <c r="W50" s="46"/>
      <c r="X50" s="46">
        <v>0.02</v>
      </c>
      <c r="Z50" s="53">
        <f t="shared" si="26"/>
        <v>1</v>
      </c>
      <c r="AB50" s="45">
        <f t="shared" si="27"/>
        <v>152100</v>
      </c>
      <c r="AC50" s="45">
        <f t="shared" si="19"/>
        <v>0</v>
      </c>
      <c r="AD50" s="45">
        <f t="shared" si="20"/>
        <v>0</v>
      </c>
      <c r="AE50" s="45">
        <f t="shared" si="21"/>
        <v>0</v>
      </c>
      <c r="AF50" s="45">
        <f t="shared" si="22"/>
        <v>152100</v>
      </c>
      <c r="AG50" s="45">
        <f t="shared" si="23"/>
        <v>0</v>
      </c>
      <c r="AH50" s="45">
        <f t="shared" si="24"/>
        <v>0</v>
      </c>
      <c r="AI50" s="45">
        <f t="shared" si="25"/>
        <v>5850</v>
      </c>
      <c r="AJ50" s="45">
        <f t="shared" si="28"/>
        <v>0</v>
      </c>
      <c r="AK50" s="45">
        <f t="shared" si="29"/>
        <v>3900</v>
      </c>
      <c r="AL50" s="45">
        <f t="shared" si="30"/>
        <v>0</v>
      </c>
      <c r="AM50" s="45">
        <f t="shared" si="31"/>
        <v>3900</v>
      </c>
      <c r="AN50" s="45">
        <f t="shared" si="32"/>
        <v>3900</v>
      </c>
      <c r="AO50" s="45">
        <f t="shared" si="33"/>
        <v>17550</v>
      </c>
      <c r="AP50" s="45">
        <f t="shared" si="34"/>
        <v>1950</v>
      </c>
      <c r="AQ50" s="45">
        <f t="shared" si="35"/>
        <v>1950</v>
      </c>
      <c r="AR50" s="45">
        <f t="shared" si="36"/>
        <v>0</v>
      </c>
      <c r="AS50" s="45">
        <f t="shared" si="37"/>
        <v>0</v>
      </c>
      <c r="AT50" s="45">
        <f t="shared" si="38"/>
        <v>3900</v>
      </c>
    </row>
    <row r="51" spans="2:46" ht="12.75">
      <c r="B51" s="37" t="s">
        <v>687</v>
      </c>
      <c r="C51">
        <v>104000</v>
      </c>
      <c r="D51" s="53"/>
      <c r="E51" s="53"/>
      <c r="F51" s="53">
        <v>1</v>
      </c>
      <c r="G51" s="53"/>
      <c r="H51" s="53"/>
      <c r="I51" s="53">
        <f t="shared" si="18"/>
        <v>1</v>
      </c>
      <c r="J51" s="46">
        <v>0.96</v>
      </c>
      <c r="K51" s="46"/>
      <c r="L51" s="46"/>
      <c r="M51" s="46"/>
      <c r="N51" s="46"/>
      <c r="O51" s="46">
        <v>0.005</v>
      </c>
      <c r="P51" s="46"/>
      <c r="Q51" s="46">
        <v>0.005</v>
      </c>
      <c r="R51" s="46"/>
      <c r="S51" s="46">
        <v>0.02</v>
      </c>
      <c r="T51" s="46"/>
      <c r="U51" s="46"/>
      <c r="V51" s="46"/>
      <c r="W51" s="46"/>
      <c r="X51" s="46">
        <v>0.01</v>
      </c>
      <c r="Z51" s="53">
        <f t="shared" si="26"/>
        <v>1</v>
      </c>
      <c r="AB51" s="45">
        <f t="shared" si="27"/>
        <v>99840</v>
      </c>
      <c r="AC51" s="45">
        <f t="shared" si="19"/>
        <v>0</v>
      </c>
      <c r="AD51" s="45">
        <f t="shared" si="20"/>
        <v>0</v>
      </c>
      <c r="AE51" s="45">
        <f t="shared" si="21"/>
        <v>99840</v>
      </c>
      <c r="AF51" s="45">
        <f t="shared" si="22"/>
        <v>0</v>
      </c>
      <c r="AG51" s="45">
        <f t="shared" si="23"/>
        <v>0</v>
      </c>
      <c r="AH51" s="45">
        <f t="shared" si="24"/>
        <v>0</v>
      </c>
      <c r="AI51" s="45">
        <f t="shared" si="25"/>
        <v>0</v>
      </c>
      <c r="AJ51" s="45">
        <f t="shared" si="28"/>
        <v>0</v>
      </c>
      <c r="AK51" s="45">
        <f t="shared" si="29"/>
        <v>520</v>
      </c>
      <c r="AL51" s="45">
        <f t="shared" si="30"/>
        <v>0</v>
      </c>
      <c r="AM51" s="45">
        <f t="shared" si="31"/>
        <v>520</v>
      </c>
      <c r="AN51" s="45">
        <f t="shared" si="32"/>
        <v>0</v>
      </c>
      <c r="AO51" s="45">
        <f t="shared" si="33"/>
        <v>2080</v>
      </c>
      <c r="AP51" s="45">
        <f t="shared" si="34"/>
        <v>0</v>
      </c>
      <c r="AQ51" s="45">
        <f t="shared" si="35"/>
        <v>0</v>
      </c>
      <c r="AR51" s="45">
        <f t="shared" si="36"/>
        <v>0</v>
      </c>
      <c r="AS51" s="45">
        <f t="shared" si="37"/>
        <v>0</v>
      </c>
      <c r="AT51" s="45">
        <f t="shared" si="38"/>
        <v>1040</v>
      </c>
    </row>
    <row r="52" spans="2:46" ht="12.75">
      <c r="B52" s="37" t="s">
        <v>688</v>
      </c>
      <c r="C52">
        <v>273000</v>
      </c>
      <c r="D52" s="53"/>
      <c r="E52" s="53">
        <v>0.15</v>
      </c>
      <c r="F52" s="53">
        <v>0.85</v>
      </c>
      <c r="G52" s="53"/>
      <c r="H52" s="53"/>
      <c r="I52" s="53">
        <f t="shared" si="18"/>
        <v>1</v>
      </c>
      <c r="J52" s="46">
        <v>0.79</v>
      </c>
      <c r="K52" s="46">
        <v>0.08</v>
      </c>
      <c r="L52" s="46"/>
      <c r="M52" s="46"/>
      <c r="N52" s="46"/>
      <c r="O52" s="46">
        <v>0.015</v>
      </c>
      <c r="P52" s="46"/>
      <c r="Q52" s="46">
        <v>0.015</v>
      </c>
      <c r="R52" s="46">
        <v>0.02</v>
      </c>
      <c r="S52" s="46">
        <v>0.06</v>
      </c>
      <c r="T52" s="46">
        <v>0.01</v>
      </c>
      <c r="U52" s="46">
        <v>0.01</v>
      </c>
      <c r="V52" s="46"/>
      <c r="W52" s="46"/>
      <c r="X52" s="46"/>
      <c r="Z52" s="53">
        <f t="shared" si="26"/>
        <v>1</v>
      </c>
      <c r="AB52" s="45">
        <f t="shared" si="27"/>
        <v>215670</v>
      </c>
      <c r="AC52" s="45">
        <f t="shared" si="19"/>
        <v>0</v>
      </c>
      <c r="AD52" s="45">
        <f t="shared" si="20"/>
        <v>32350.5</v>
      </c>
      <c r="AE52" s="45">
        <f t="shared" si="21"/>
        <v>183319.5</v>
      </c>
      <c r="AF52" s="45">
        <f t="shared" si="22"/>
        <v>0</v>
      </c>
      <c r="AG52" s="45">
        <f t="shared" si="23"/>
        <v>0</v>
      </c>
      <c r="AH52" s="45">
        <f t="shared" si="24"/>
        <v>21840</v>
      </c>
      <c r="AI52" s="45">
        <f t="shared" si="25"/>
        <v>0</v>
      </c>
      <c r="AJ52" s="45">
        <f t="shared" si="28"/>
        <v>0</v>
      </c>
      <c r="AK52" s="45">
        <f t="shared" si="29"/>
        <v>4095</v>
      </c>
      <c r="AL52" s="45">
        <f t="shared" si="30"/>
        <v>0</v>
      </c>
      <c r="AM52" s="45">
        <f t="shared" si="31"/>
        <v>4095</v>
      </c>
      <c r="AN52" s="45">
        <f t="shared" si="32"/>
        <v>5460</v>
      </c>
      <c r="AO52" s="45">
        <f t="shared" si="33"/>
        <v>16380</v>
      </c>
      <c r="AP52" s="45">
        <f t="shared" si="34"/>
        <v>2730</v>
      </c>
      <c r="AQ52" s="45">
        <f t="shared" si="35"/>
        <v>2730</v>
      </c>
      <c r="AR52" s="45">
        <f t="shared" si="36"/>
        <v>0</v>
      </c>
      <c r="AS52" s="45">
        <f t="shared" si="37"/>
        <v>0</v>
      </c>
      <c r="AT52" s="45">
        <f t="shared" si="38"/>
        <v>0</v>
      </c>
    </row>
    <row r="53" spans="2:46" ht="12.75">
      <c r="B53" s="37" t="s">
        <v>689</v>
      </c>
      <c r="C53">
        <v>370000</v>
      </c>
      <c r="D53" s="53">
        <v>0.25</v>
      </c>
      <c r="E53" s="53">
        <v>0.4</v>
      </c>
      <c r="F53" s="53"/>
      <c r="G53" s="53">
        <v>0.35</v>
      </c>
      <c r="H53" s="53"/>
      <c r="I53" s="53">
        <f t="shared" si="18"/>
        <v>1</v>
      </c>
      <c r="J53" s="46">
        <v>0.79</v>
      </c>
      <c r="K53" s="46"/>
      <c r="L53" s="46">
        <v>0.02</v>
      </c>
      <c r="M53" s="46"/>
      <c r="N53" s="46"/>
      <c r="O53" s="46">
        <v>0.015</v>
      </c>
      <c r="P53" s="46"/>
      <c r="Q53" s="46">
        <v>0.015</v>
      </c>
      <c r="R53" s="46">
        <v>0.08</v>
      </c>
      <c r="S53" s="46">
        <v>0.06</v>
      </c>
      <c r="T53" s="46">
        <v>0.01</v>
      </c>
      <c r="U53" s="46">
        <v>0.01</v>
      </c>
      <c r="V53" s="46"/>
      <c r="W53" s="46"/>
      <c r="X53" s="46"/>
      <c r="Z53" s="53">
        <f t="shared" si="26"/>
        <v>1</v>
      </c>
      <c r="AB53" s="45">
        <f t="shared" si="27"/>
        <v>292300</v>
      </c>
      <c r="AC53" s="45">
        <f t="shared" si="19"/>
        <v>73075</v>
      </c>
      <c r="AD53" s="45">
        <f t="shared" si="20"/>
        <v>116920.00000000001</v>
      </c>
      <c r="AE53" s="45">
        <f t="shared" si="21"/>
        <v>0</v>
      </c>
      <c r="AF53" s="45">
        <f t="shared" si="22"/>
        <v>102304.99999999999</v>
      </c>
      <c r="AG53" s="45">
        <f t="shared" si="23"/>
        <v>0</v>
      </c>
      <c r="AH53" s="45">
        <f t="shared" si="24"/>
        <v>0</v>
      </c>
      <c r="AI53" s="45">
        <f t="shared" si="25"/>
        <v>7400</v>
      </c>
      <c r="AJ53" s="45">
        <f t="shared" si="28"/>
        <v>0</v>
      </c>
      <c r="AK53" s="45">
        <f t="shared" si="29"/>
        <v>5550</v>
      </c>
      <c r="AL53" s="45">
        <f t="shared" si="30"/>
        <v>0</v>
      </c>
      <c r="AM53" s="45">
        <f t="shared" si="31"/>
        <v>5550</v>
      </c>
      <c r="AN53" s="45">
        <f t="shared" si="32"/>
        <v>29600</v>
      </c>
      <c r="AO53" s="45">
        <f t="shared" si="33"/>
        <v>22200</v>
      </c>
      <c r="AP53" s="45">
        <f t="shared" si="34"/>
        <v>3700</v>
      </c>
      <c r="AQ53" s="45">
        <f t="shared" si="35"/>
        <v>3700</v>
      </c>
      <c r="AR53" s="45">
        <f t="shared" si="36"/>
        <v>0</v>
      </c>
      <c r="AS53" s="45">
        <f t="shared" si="37"/>
        <v>0</v>
      </c>
      <c r="AT53" s="45">
        <f t="shared" si="38"/>
        <v>0</v>
      </c>
    </row>
    <row r="54" spans="2:46" ht="12.75">
      <c r="B54" s="37" t="s">
        <v>690</v>
      </c>
      <c r="C54">
        <v>392200</v>
      </c>
      <c r="D54" s="53">
        <v>0.8</v>
      </c>
      <c r="E54" s="53">
        <v>0.08</v>
      </c>
      <c r="F54" s="53"/>
      <c r="G54" s="53">
        <v>0.12</v>
      </c>
      <c r="H54" s="53"/>
      <c r="I54" s="53">
        <f t="shared" si="18"/>
        <v>1</v>
      </c>
      <c r="J54" s="46">
        <v>0.43</v>
      </c>
      <c r="K54" s="46"/>
      <c r="L54" s="46"/>
      <c r="M54" s="46"/>
      <c r="N54" s="46"/>
      <c r="O54" s="46">
        <f>0.19*0.75</f>
        <v>0.14250000000000002</v>
      </c>
      <c r="P54" s="46"/>
      <c r="Q54" s="46">
        <f>0.19*0.25</f>
        <v>0.0475</v>
      </c>
      <c r="R54" s="46">
        <v>0.03</v>
      </c>
      <c r="S54" s="46">
        <v>0.02</v>
      </c>
      <c r="T54" s="46">
        <v>0.32</v>
      </c>
      <c r="U54" s="46"/>
      <c r="V54" s="46"/>
      <c r="W54" s="46"/>
      <c r="X54" s="46">
        <v>0.01</v>
      </c>
      <c r="Z54" s="53">
        <f t="shared" si="26"/>
        <v>1</v>
      </c>
      <c r="AB54" s="45">
        <f t="shared" si="27"/>
        <v>168646</v>
      </c>
      <c r="AC54" s="45">
        <f t="shared" si="19"/>
        <v>134916.80000000002</v>
      </c>
      <c r="AD54" s="45">
        <f t="shared" si="20"/>
        <v>13491.68</v>
      </c>
      <c r="AE54" s="45">
        <f t="shared" si="21"/>
        <v>0</v>
      </c>
      <c r="AF54" s="45">
        <f t="shared" si="22"/>
        <v>20237.52</v>
      </c>
      <c r="AG54" s="45">
        <f t="shared" si="23"/>
        <v>0</v>
      </c>
      <c r="AH54" s="45">
        <f t="shared" si="24"/>
        <v>0</v>
      </c>
      <c r="AI54" s="45">
        <f t="shared" si="25"/>
        <v>0</v>
      </c>
      <c r="AJ54" s="45">
        <f t="shared" si="28"/>
        <v>0</v>
      </c>
      <c r="AK54" s="45">
        <f t="shared" si="29"/>
        <v>55888.50000000001</v>
      </c>
      <c r="AL54" s="45">
        <f t="shared" si="30"/>
        <v>0</v>
      </c>
      <c r="AM54" s="45">
        <f t="shared" si="31"/>
        <v>18629.5</v>
      </c>
      <c r="AN54" s="45">
        <f t="shared" si="32"/>
        <v>11766</v>
      </c>
      <c r="AO54" s="45">
        <f t="shared" si="33"/>
        <v>7844</v>
      </c>
      <c r="AP54" s="45">
        <f t="shared" si="34"/>
        <v>125504</v>
      </c>
      <c r="AQ54" s="45">
        <f t="shared" si="35"/>
        <v>0</v>
      </c>
      <c r="AR54" s="45">
        <f t="shared" si="36"/>
        <v>0</v>
      </c>
      <c r="AS54" s="45">
        <f t="shared" si="37"/>
        <v>0</v>
      </c>
      <c r="AT54" s="45">
        <f t="shared" si="38"/>
        <v>3922</v>
      </c>
    </row>
    <row r="55" spans="2:46" ht="12.75">
      <c r="B55" s="37" t="s">
        <v>691</v>
      </c>
      <c r="C55">
        <v>538400</v>
      </c>
      <c r="D55" s="53">
        <v>0.6</v>
      </c>
      <c r="E55" s="53">
        <v>0.4</v>
      </c>
      <c r="F55" s="53"/>
      <c r="G55" s="53"/>
      <c r="H55" s="53"/>
      <c r="I55" s="53">
        <f t="shared" si="18"/>
        <v>1</v>
      </c>
      <c r="J55" s="46">
        <v>0.53</v>
      </c>
      <c r="K55" s="46">
        <f>0.3*0.35</f>
        <v>0.105</v>
      </c>
      <c r="L55" s="46">
        <f>0.3*0.65</f>
        <v>0.195</v>
      </c>
      <c r="M55" s="46"/>
      <c r="N55" s="46"/>
      <c r="O55" s="46">
        <v>0.015</v>
      </c>
      <c r="P55" s="46"/>
      <c r="Q55" s="46">
        <v>0.015</v>
      </c>
      <c r="R55" s="46">
        <v>0.02</v>
      </c>
      <c r="S55" s="46">
        <v>0.1</v>
      </c>
      <c r="T55" s="46">
        <v>0.01</v>
      </c>
      <c r="U55" s="46"/>
      <c r="V55" s="46"/>
      <c r="W55" s="46"/>
      <c r="X55" s="46">
        <v>0.01</v>
      </c>
      <c r="Z55" s="53">
        <f t="shared" si="26"/>
        <v>1</v>
      </c>
      <c r="AB55" s="45">
        <f t="shared" si="27"/>
        <v>285352</v>
      </c>
      <c r="AC55" s="45">
        <f t="shared" si="19"/>
        <v>171211.2</v>
      </c>
      <c r="AD55" s="45">
        <f t="shared" si="20"/>
        <v>114140.80000000002</v>
      </c>
      <c r="AE55" s="45">
        <f t="shared" si="21"/>
        <v>0</v>
      </c>
      <c r="AF55" s="45">
        <f t="shared" si="22"/>
        <v>0</v>
      </c>
      <c r="AG55" s="45">
        <f t="shared" si="23"/>
        <v>0</v>
      </c>
      <c r="AH55" s="45">
        <f t="shared" si="24"/>
        <v>56532</v>
      </c>
      <c r="AI55" s="45">
        <f t="shared" si="25"/>
        <v>104988</v>
      </c>
      <c r="AJ55" s="45">
        <f t="shared" si="28"/>
        <v>0</v>
      </c>
      <c r="AK55" s="45">
        <f t="shared" si="29"/>
        <v>8076</v>
      </c>
      <c r="AL55" s="45">
        <f t="shared" si="30"/>
        <v>0</v>
      </c>
      <c r="AM55" s="45">
        <f t="shared" si="31"/>
        <v>8076</v>
      </c>
      <c r="AN55" s="45">
        <f t="shared" si="32"/>
        <v>10768</v>
      </c>
      <c r="AO55" s="45">
        <f t="shared" si="33"/>
        <v>53840</v>
      </c>
      <c r="AP55" s="45">
        <f t="shared" si="34"/>
        <v>5384</v>
      </c>
      <c r="AQ55" s="45">
        <f t="shared" si="35"/>
        <v>0</v>
      </c>
      <c r="AR55" s="45">
        <f t="shared" si="36"/>
        <v>0</v>
      </c>
      <c r="AS55" s="45">
        <f t="shared" si="37"/>
        <v>0</v>
      </c>
      <c r="AT55" s="45">
        <f t="shared" si="38"/>
        <v>5384</v>
      </c>
    </row>
    <row r="56" spans="2:46" ht="12.75">
      <c r="B56" s="37" t="s">
        <v>692</v>
      </c>
      <c r="C56">
        <v>277400</v>
      </c>
      <c r="D56" s="53"/>
      <c r="E56" s="53"/>
      <c r="F56" s="53">
        <v>1</v>
      </c>
      <c r="G56" s="53"/>
      <c r="H56" s="53"/>
      <c r="I56" s="53">
        <f t="shared" si="18"/>
        <v>1</v>
      </c>
      <c r="J56" s="46">
        <v>0.94</v>
      </c>
      <c r="K56" s="46"/>
      <c r="L56" s="46"/>
      <c r="M56" s="46"/>
      <c r="N56" s="46"/>
      <c r="O56" s="46"/>
      <c r="P56" s="46"/>
      <c r="Q56" s="46"/>
      <c r="R56" s="46"/>
      <c r="S56" s="46">
        <v>0.02</v>
      </c>
      <c r="T56" s="46"/>
      <c r="U56" s="46">
        <v>0.01</v>
      </c>
      <c r="V56" s="46">
        <v>0.02</v>
      </c>
      <c r="W56" s="46"/>
      <c r="X56" s="46">
        <v>0.01</v>
      </c>
      <c r="Z56" s="53">
        <f t="shared" si="26"/>
        <v>1</v>
      </c>
      <c r="AB56" s="45">
        <f t="shared" si="27"/>
        <v>260755.99999999997</v>
      </c>
      <c r="AC56" s="45">
        <f t="shared" si="19"/>
        <v>0</v>
      </c>
      <c r="AD56" s="45">
        <f t="shared" si="20"/>
        <v>0</v>
      </c>
      <c r="AE56" s="45">
        <f t="shared" si="21"/>
        <v>260755.99999999997</v>
      </c>
      <c r="AF56" s="45">
        <f t="shared" si="22"/>
        <v>0</v>
      </c>
      <c r="AG56" s="45">
        <f t="shared" si="23"/>
        <v>0</v>
      </c>
      <c r="AH56" s="45">
        <f t="shared" si="24"/>
        <v>0</v>
      </c>
      <c r="AI56" s="45">
        <f t="shared" si="25"/>
        <v>0</v>
      </c>
      <c r="AJ56" s="45">
        <f t="shared" si="28"/>
        <v>0</v>
      </c>
      <c r="AK56" s="45">
        <f t="shared" si="29"/>
        <v>0</v>
      </c>
      <c r="AL56" s="45">
        <f t="shared" si="30"/>
        <v>0</v>
      </c>
      <c r="AM56" s="45">
        <f t="shared" si="31"/>
        <v>0</v>
      </c>
      <c r="AN56" s="45">
        <f t="shared" si="32"/>
        <v>0</v>
      </c>
      <c r="AO56" s="45">
        <f t="shared" si="33"/>
        <v>5548</v>
      </c>
      <c r="AP56" s="45">
        <f t="shared" si="34"/>
        <v>0</v>
      </c>
      <c r="AQ56" s="45">
        <f t="shared" si="35"/>
        <v>2774</v>
      </c>
      <c r="AR56" s="45">
        <f t="shared" si="36"/>
        <v>5548</v>
      </c>
      <c r="AS56" s="45">
        <f t="shared" si="37"/>
        <v>0</v>
      </c>
      <c r="AT56" s="45">
        <f t="shared" si="38"/>
        <v>2774</v>
      </c>
    </row>
    <row r="57" spans="2:46" ht="12.75">
      <c r="B57" s="37" t="s">
        <v>693</v>
      </c>
      <c r="C57">
        <v>682200</v>
      </c>
      <c r="D57" s="53">
        <v>0.5</v>
      </c>
      <c r="E57" s="53">
        <v>0.4</v>
      </c>
      <c r="F57" s="53"/>
      <c r="G57" s="53"/>
      <c r="H57" s="53">
        <v>0.1</v>
      </c>
      <c r="I57" s="53">
        <f t="shared" si="18"/>
        <v>1</v>
      </c>
      <c r="J57" s="46">
        <v>0.79</v>
      </c>
      <c r="K57" s="46"/>
      <c r="L57" s="46">
        <v>0.03</v>
      </c>
      <c r="M57" s="46"/>
      <c r="N57" s="46"/>
      <c r="O57" s="46">
        <v>0.025</v>
      </c>
      <c r="P57" s="46"/>
      <c r="Q57" s="46">
        <v>0.025</v>
      </c>
      <c r="R57" s="46">
        <v>0.02</v>
      </c>
      <c r="S57" s="46">
        <v>0.09</v>
      </c>
      <c r="T57" s="46">
        <v>0.01</v>
      </c>
      <c r="U57" s="46">
        <v>0.01</v>
      </c>
      <c r="V57" s="46"/>
      <c r="W57" s="46"/>
      <c r="X57" s="46"/>
      <c r="Z57" s="53">
        <f t="shared" si="26"/>
        <v>1</v>
      </c>
      <c r="AB57" s="45">
        <f t="shared" si="27"/>
        <v>538938</v>
      </c>
      <c r="AC57" s="45">
        <f t="shared" si="19"/>
        <v>269469</v>
      </c>
      <c r="AD57" s="45">
        <f t="shared" si="20"/>
        <v>215575.20000000004</v>
      </c>
      <c r="AE57" s="45">
        <f t="shared" si="21"/>
        <v>0</v>
      </c>
      <c r="AF57" s="45">
        <f t="shared" si="22"/>
        <v>0</v>
      </c>
      <c r="AG57" s="45">
        <f t="shared" si="23"/>
        <v>53893.80000000001</v>
      </c>
      <c r="AH57" s="45">
        <f t="shared" si="24"/>
        <v>0</v>
      </c>
      <c r="AI57" s="45">
        <f t="shared" si="25"/>
        <v>20466</v>
      </c>
      <c r="AJ57" s="45">
        <f t="shared" si="28"/>
        <v>0</v>
      </c>
      <c r="AK57" s="45">
        <f t="shared" si="29"/>
        <v>17055</v>
      </c>
      <c r="AL57" s="45">
        <f t="shared" si="30"/>
        <v>0</v>
      </c>
      <c r="AM57" s="45">
        <f t="shared" si="31"/>
        <v>17055</v>
      </c>
      <c r="AN57" s="45">
        <f t="shared" si="32"/>
        <v>13644</v>
      </c>
      <c r="AO57" s="45">
        <f t="shared" si="33"/>
        <v>61398</v>
      </c>
      <c r="AP57" s="45">
        <f t="shared" si="34"/>
        <v>6822</v>
      </c>
      <c r="AQ57" s="45">
        <f t="shared" si="35"/>
        <v>6822</v>
      </c>
      <c r="AR57" s="45">
        <f t="shared" si="36"/>
        <v>0</v>
      </c>
      <c r="AS57" s="45">
        <f t="shared" si="37"/>
        <v>0</v>
      </c>
      <c r="AT57" s="45">
        <f t="shared" si="38"/>
        <v>0</v>
      </c>
    </row>
    <row r="58" spans="2:46" ht="12.75">
      <c r="B58" s="37" t="s">
        <v>694</v>
      </c>
      <c r="C58">
        <v>751850</v>
      </c>
      <c r="D58" s="53">
        <v>1</v>
      </c>
      <c r="E58" s="53"/>
      <c r="F58" s="53"/>
      <c r="G58" s="53"/>
      <c r="H58" s="53"/>
      <c r="I58" s="53">
        <f t="shared" si="18"/>
        <v>1</v>
      </c>
      <c r="J58" s="46">
        <v>0.79</v>
      </c>
      <c r="K58" s="46"/>
      <c r="L58" s="46">
        <v>0.03</v>
      </c>
      <c r="M58" s="46"/>
      <c r="N58" s="46"/>
      <c r="O58" s="46"/>
      <c r="P58" s="46"/>
      <c r="Q58" s="46">
        <v>0.05</v>
      </c>
      <c r="R58" s="46">
        <v>0.02</v>
      </c>
      <c r="S58" s="46">
        <v>0.09</v>
      </c>
      <c r="T58" s="46">
        <v>0.01</v>
      </c>
      <c r="U58" s="46">
        <v>0.01</v>
      </c>
      <c r="V58" s="46"/>
      <c r="W58" s="46"/>
      <c r="X58" s="46"/>
      <c r="Z58" s="53">
        <f t="shared" si="26"/>
        <v>1</v>
      </c>
      <c r="AB58" s="45">
        <f t="shared" si="27"/>
        <v>593961.5</v>
      </c>
      <c r="AC58" s="45">
        <f t="shared" si="19"/>
        <v>593961.5</v>
      </c>
      <c r="AD58" s="45">
        <f t="shared" si="20"/>
        <v>0</v>
      </c>
      <c r="AE58" s="45">
        <f t="shared" si="21"/>
        <v>0</v>
      </c>
      <c r="AF58" s="45">
        <f t="shared" si="22"/>
        <v>0</v>
      </c>
      <c r="AG58" s="45">
        <f t="shared" si="23"/>
        <v>0</v>
      </c>
      <c r="AH58" s="45">
        <f t="shared" si="24"/>
        <v>0</v>
      </c>
      <c r="AI58" s="45">
        <f t="shared" si="25"/>
        <v>22555.5</v>
      </c>
      <c r="AJ58" s="45">
        <f t="shared" si="28"/>
        <v>0</v>
      </c>
      <c r="AK58" s="45">
        <f t="shared" si="29"/>
        <v>0</v>
      </c>
      <c r="AL58" s="45">
        <f t="shared" si="30"/>
        <v>0</v>
      </c>
      <c r="AM58" s="45">
        <f t="shared" si="31"/>
        <v>37592.5</v>
      </c>
      <c r="AN58" s="45">
        <f t="shared" si="32"/>
        <v>15037</v>
      </c>
      <c r="AO58" s="45">
        <f t="shared" si="33"/>
        <v>67666.5</v>
      </c>
      <c r="AP58" s="45">
        <f t="shared" si="34"/>
        <v>7518.5</v>
      </c>
      <c r="AQ58" s="45">
        <f t="shared" si="35"/>
        <v>7518.5</v>
      </c>
      <c r="AR58" s="45">
        <f t="shared" si="36"/>
        <v>0</v>
      </c>
      <c r="AS58" s="45">
        <f t="shared" si="37"/>
        <v>0</v>
      </c>
      <c r="AT58" s="45">
        <f t="shared" si="38"/>
        <v>0</v>
      </c>
    </row>
    <row r="59" spans="2:46" ht="12.75">
      <c r="B59" s="37" t="s">
        <v>695</v>
      </c>
      <c r="C59">
        <v>10000</v>
      </c>
      <c r="D59" s="53"/>
      <c r="E59" s="53">
        <v>0.5</v>
      </c>
      <c r="F59" s="53">
        <v>0.4</v>
      </c>
      <c r="G59" s="53">
        <v>0.1</v>
      </c>
      <c r="H59" s="53"/>
      <c r="I59" s="53">
        <f t="shared" si="18"/>
        <v>1</v>
      </c>
      <c r="J59" s="46">
        <v>0.37</v>
      </c>
      <c r="K59" s="46"/>
      <c r="L59" s="46"/>
      <c r="M59" s="46"/>
      <c r="N59" s="46">
        <v>0.25</v>
      </c>
      <c r="O59" s="46"/>
      <c r="P59" s="46"/>
      <c r="Q59" s="46"/>
      <c r="R59" s="46">
        <v>0.18</v>
      </c>
      <c r="S59" s="46">
        <v>0.1</v>
      </c>
      <c r="T59" s="46">
        <v>0.05</v>
      </c>
      <c r="U59" s="46"/>
      <c r="V59" s="46"/>
      <c r="W59" s="46"/>
      <c r="X59" s="46">
        <v>0.05</v>
      </c>
      <c r="Z59" s="53">
        <f t="shared" si="26"/>
        <v>1</v>
      </c>
      <c r="AB59" s="45">
        <f t="shared" si="27"/>
        <v>3700</v>
      </c>
      <c r="AC59" s="45">
        <f t="shared" si="19"/>
        <v>0</v>
      </c>
      <c r="AD59" s="45">
        <f t="shared" si="20"/>
        <v>1850</v>
      </c>
      <c r="AE59" s="45">
        <f t="shared" si="21"/>
        <v>1480</v>
      </c>
      <c r="AF59" s="45">
        <f t="shared" si="22"/>
        <v>370</v>
      </c>
      <c r="AG59" s="45">
        <f t="shared" si="23"/>
        <v>0</v>
      </c>
      <c r="AH59" s="45">
        <f t="shared" si="24"/>
        <v>0</v>
      </c>
      <c r="AI59" s="45">
        <f t="shared" si="25"/>
        <v>0</v>
      </c>
      <c r="AJ59" s="45">
        <f t="shared" si="28"/>
        <v>2500</v>
      </c>
      <c r="AK59" s="45">
        <f t="shared" si="29"/>
        <v>0</v>
      </c>
      <c r="AL59" s="45">
        <f t="shared" si="30"/>
        <v>0</v>
      </c>
      <c r="AM59" s="45">
        <f t="shared" si="31"/>
        <v>0</v>
      </c>
      <c r="AN59" s="45">
        <f t="shared" si="32"/>
        <v>1800</v>
      </c>
      <c r="AO59" s="45">
        <f t="shared" si="33"/>
        <v>1000</v>
      </c>
      <c r="AP59" s="45">
        <f t="shared" si="34"/>
        <v>500</v>
      </c>
      <c r="AQ59" s="45">
        <f t="shared" si="35"/>
        <v>0</v>
      </c>
      <c r="AR59" s="45">
        <f t="shared" si="36"/>
        <v>0</v>
      </c>
      <c r="AS59" s="45">
        <f t="shared" si="37"/>
        <v>0</v>
      </c>
      <c r="AT59" s="45">
        <f t="shared" si="38"/>
        <v>500</v>
      </c>
    </row>
    <row r="60" spans="2:46" ht="12.75">
      <c r="B60" s="37" t="s">
        <v>697</v>
      </c>
      <c r="C60">
        <v>668800</v>
      </c>
      <c r="D60" s="53">
        <v>0.12</v>
      </c>
      <c r="E60" s="53">
        <v>0.8</v>
      </c>
      <c r="F60" s="53"/>
      <c r="G60" s="53">
        <v>0.08</v>
      </c>
      <c r="H60" s="53"/>
      <c r="I60" s="53">
        <f t="shared" si="18"/>
        <v>1</v>
      </c>
      <c r="J60" s="46">
        <v>0.79</v>
      </c>
      <c r="K60" s="46"/>
      <c r="L60" s="46">
        <v>0.02</v>
      </c>
      <c r="M60" s="46"/>
      <c r="N60" s="46"/>
      <c r="O60" s="46">
        <v>0.09</v>
      </c>
      <c r="P60" s="46"/>
      <c r="Q60" s="46"/>
      <c r="R60" s="46">
        <v>0.05</v>
      </c>
      <c r="S60" s="46">
        <v>0.03</v>
      </c>
      <c r="T60" s="46">
        <v>0.01</v>
      </c>
      <c r="U60" s="46">
        <v>0.01</v>
      </c>
      <c r="V60" s="46"/>
      <c r="W60" s="46"/>
      <c r="X60" s="46"/>
      <c r="Z60" s="53">
        <f t="shared" si="26"/>
        <v>1</v>
      </c>
      <c r="AB60" s="45">
        <f t="shared" si="27"/>
        <v>528352</v>
      </c>
      <c r="AC60" s="45">
        <f t="shared" si="19"/>
        <v>63402.24</v>
      </c>
      <c r="AD60" s="45">
        <f t="shared" si="20"/>
        <v>422681.6000000001</v>
      </c>
      <c r="AE60" s="45">
        <f t="shared" si="21"/>
        <v>0</v>
      </c>
      <c r="AF60" s="45">
        <f t="shared" si="22"/>
        <v>42268.16</v>
      </c>
      <c r="AG60" s="45">
        <f t="shared" si="23"/>
        <v>0</v>
      </c>
      <c r="AH60" s="45">
        <f t="shared" si="24"/>
        <v>0</v>
      </c>
      <c r="AI60" s="45">
        <f t="shared" si="25"/>
        <v>13376</v>
      </c>
      <c r="AJ60" s="45">
        <f t="shared" si="28"/>
        <v>0</v>
      </c>
      <c r="AK60" s="45">
        <f t="shared" si="29"/>
        <v>60192</v>
      </c>
      <c r="AL60" s="45">
        <f t="shared" si="30"/>
        <v>0</v>
      </c>
      <c r="AM60" s="45">
        <f t="shared" si="31"/>
        <v>0</v>
      </c>
      <c r="AN60" s="45">
        <f t="shared" si="32"/>
        <v>33440</v>
      </c>
      <c r="AO60" s="45">
        <f t="shared" si="33"/>
        <v>20064</v>
      </c>
      <c r="AP60" s="45">
        <f t="shared" si="34"/>
        <v>6688</v>
      </c>
      <c r="AQ60" s="45">
        <f t="shared" si="35"/>
        <v>6688</v>
      </c>
      <c r="AR60" s="45">
        <f t="shared" si="36"/>
        <v>0</v>
      </c>
      <c r="AS60" s="45">
        <f t="shared" si="37"/>
        <v>0</v>
      </c>
      <c r="AT60" s="45">
        <f t="shared" si="38"/>
        <v>0</v>
      </c>
    </row>
    <row r="61" spans="2:46" ht="12.75">
      <c r="B61" s="37" t="s">
        <v>698</v>
      </c>
      <c r="C61">
        <v>177800</v>
      </c>
      <c r="D61" s="53">
        <v>0.06</v>
      </c>
      <c r="E61" s="53">
        <v>0.8</v>
      </c>
      <c r="F61" s="53"/>
      <c r="G61" s="53">
        <v>0.1</v>
      </c>
      <c r="H61" s="53">
        <v>0.04</v>
      </c>
      <c r="I61" s="53">
        <f t="shared" si="18"/>
        <v>1</v>
      </c>
      <c r="J61" s="46">
        <v>0.79</v>
      </c>
      <c r="K61" s="46"/>
      <c r="L61" s="46">
        <v>0.02</v>
      </c>
      <c r="M61" s="46"/>
      <c r="N61" s="46"/>
      <c r="O61" s="46"/>
      <c r="P61" s="46"/>
      <c r="Q61" s="46">
        <v>0.09</v>
      </c>
      <c r="R61" s="46">
        <v>0.05</v>
      </c>
      <c r="S61" s="46">
        <v>0.03</v>
      </c>
      <c r="T61" s="46">
        <v>0.01</v>
      </c>
      <c r="U61" s="46">
        <v>0.01</v>
      </c>
      <c r="V61" s="46"/>
      <c r="W61" s="46"/>
      <c r="X61" s="46"/>
      <c r="Z61" s="53">
        <f t="shared" si="26"/>
        <v>1</v>
      </c>
      <c r="AB61" s="45">
        <f t="shared" si="27"/>
        <v>140462</v>
      </c>
      <c r="AC61" s="45">
        <f t="shared" si="19"/>
        <v>8427.72</v>
      </c>
      <c r="AD61" s="45">
        <f t="shared" si="20"/>
        <v>112369.60000000002</v>
      </c>
      <c r="AE61" s="45">
        <f t="shared" si="21"/>
        <v>0</v>
      </c>
      <c r="AF61" s="45">
        <f t="shared" si="22"/>
        <v>14046.200000000003</v>
      </c>
      <c r="AG61" s="45">
        <f t="shared" si="23"/>
        <v>5618.4800000000005</v>
      </c>
      <c r="AH61" s="45">
        <f t="shared" si="24"/>
        <v>0</v>
      </c>
      <c r="AI61" s="45">
        <f t="shared" si="25"/>
        <v>3556</v>
      </c>
      <c r="AJ61" s="45">
        <f t="shared" si="28"/>
        <v>0</v>
      </c>
      <c r="AK61" s="45">
        <f t="shared" si="29"/>
        <v>0</v>
      </c>
      <c r="AL61" s="45">
        <f t="shared" si="30"/>
        <v>0</v>
      </c>
      <c r="AM61" s="45">
        <f t="shared" si="31"/>
        <v>16002</v>
      </c>
      <c r="AN61" s="45">
        <f t="shared" si="32"/>
        <v>8890</v>
      </c>
      <c r="AO61" s="45">
        <f t="shared" si="33"/>
        <v>5334</v>
      </c>
      <c r="AP61" s="45">
        <f t="shared" si="34"/>
        <v>1778</v>
      </c>
      <c r="AQ61" s="45">
        <f t="shared" si="35"/>
        <v>1778</v>
      </c>
      <c r="AR61" s="45">
        <f t="shared" si="36"/>
        <v>0</v>
      </c>
      <c r="AS61" s="45">
        <f t="shared" si="37"/>
        <v>0</v>
      </c>
      <c r="AT61" s="45">
        <f t="shared" si="38"/>
        <v>0</v>
      </c>
    </row>
    <row r="62" spans="2:46" ht="12.75">
      <c r="B62" s="37" t="s">
        <v>699</v>
      </c>
      <c r="C62">
        <v>120000</v>
      </c>
      <c r="D62" s="53"/>
      <c r="E62" s="53">
        <v>0.85</v>
      </c>
      <c r="F62" s="53"/>
      <c r="G62" s="53">
        <v>0.15</v>
      </c>
      <c r="H62" s="53"/>
      <c r="I62" s="53">
        <f t="shared" si="18"/>
        <v>1</v>
      </c>
      <c r="J62" s="46">
        <v>0.96</v>
      </c>
      <c r="K62" s="46"/>
      <c r="L62" s="46"/>
      <c r="M62" s="46"/>
      <c r="N62" s="46"/>
      <c r="O62" s="46">
        <v>0.005</v>
      </c>
      <c r="P62" s="46"/>
      <c r="Q62" s="46">
        <v>0.005</v>
      </c>
      <c r="R62" s="46"/>
      <c r="S62" s="46">
        <v>0.02</v>
      </c>
      <c r="T62" s="46"/>
      <c r="U62" s="46"/>
      <c r="V62" s="46"/>
      <c r="W62" s="46"/>
      <c r="X62" s="46">
        <v>0.01</v>
      </c>
      <c r="Z62" s="53">
        <f t="shared" si="26"/>
        <v>1</v>
      </c>
      <c r="AB62" s="45">
        <f t="shared" si="27"/>
        <v>115200</v>
      </c>
      <c r="AC62" s="45">
        <f t="shared" si="19"/>
        <v>0</v>
      </c>
      <c r="AD62" s="45">
        <f t="shared" si="20"/>
        <v>97920</v>
      </c>
      <c r="AE62" s="45">
        <f t="shared" si="21"/>
        <v>0</v>
      </c>
      <c r="AF62" s="45">
        <f t="shared" si="22"/>
        <v>17280</v>
      </c>
      <c r="AG62" s="45">
        <f t="shared" si="23"/>
        <v>0</v>
      </c>
      <c r="AH62" s="45">
        <f t="shared" si="24"/>
        <v>0</v>
      </c>
      <c r="AI62" s="45">
        <f t="shared" si="25"/>
        <v>0</v>
      </c>
      <c r="AJ62" s="45">
        <f t="shared" si="28"/>
        <v>0</v>
      </c>
      <c r="AK62" s="45">
        <f t="shared" si="29"/>
        <v>600</v>
      </c>
      <c r="AL62" s="45">
        <f t="shared" si="30"/>
        <v>0</v>
      </c>
      <c r="AM62" s="45">
        <f t="shared" si="31"/>
        <v>600</v>
      </c>
      <c r="AN62" s="45">
        <f t="shared" si="32"/>
        <v>0</v>
      </c>
      <c r="AO62" s="45">
        <f t="shared" si="33"/>
        <v>2400</v>
      </c>
      <c r="AP62" s="45">
        <f t="shared" si="34"/>
        <v>0</v>
      </c>
      <c r="AQ62" s="45">
        <f t="shared" si="35"/>
        <v>0</v>
      </c>
      <c r="AR62" s="45">
        <f t="shared" si="36"/>
        <v>0</v>
      </c>
      <c r="AS62" s="45">
        <f t="shared" si="37"/>
        <v>0</v>
      </c>
      <c r="AT62" s="45">
        <f t="shared" si="38"/>
        <v>1200</v>
      </c>
    </row>
    <row r="63" spans="2:46" ht="12.75">
      <c r="B63" s="37" t="s">
        <v>700</v>
      </c>
      <c r="C63">
        <v>305900</v>
      </c>
      <c r="D63" s="53">
        <v>0.5</v>
      </c>
      <c r="E63" s="53">
        <v>0.4</v>
      </c>
      <c r="F63" s="53"/>
      <c r="G63" s="53">
        <v>0.1</v>
      </c>
      <c r="H63" s="53"/>
      <c r="I63" s="53">
        <f t="shared" si="18"/>
        <v>1</v>
      </c>
      <c r="J63" s="46">
        <v>0.79</v>
      </c>
      <c r="K63" s="46"/>
      <c r="L63" s="46">
        <v>0.03</v>
      </c>
      <c r="M63" s="46"/>
      <c r="N63" s="46"/>
      <c r="O63" s="46">
        <v>0.05</v>
      </c>
      <c r="P63" s="46"/>
      <c r="Q63" s="46"/>
      <c r="R63" s="46">
        <v>0.02</v>
      </c>
      <c r="S63" s="46">
        <v>0.09</v>
      </c>
      <c r="T63" s="46">
        <v>0.01</v>
      </c>
      <c r="U63" s="46">
        <v>0.01</v>
      </c>
      <c r="V63" s="46"/>
      <c r="W63" s="46"/>
      <c r="X63" s="46"/>
      <c r="Z63" s="53">
        <f t="shared" si="26"/>
        <v>1</v>
      </c>
      <c r="AB63" s="45">
        <f t="shared" si="27"/>
        <v>241661</v>
      </c>
      <c r="AC63" s="45">
        <f t="shared" si="19"/>
        <v>120830.5</v>
      </c>
      <c r="AD63" s="45">
        <f t="shared" si="20"/>
        <v>96664.40000000002</v>
      </c>
      <c r="AE63" s="45">
        <f t="shared" si="21"/>
        <v>0</v>
      </c>
      <c r="AF63" s="45">
        <f t="shared" si="22"/>
        <v>24166.100000000006</v>
      </c>
      <c r="AG63" s="45">
        <f t="shared" si="23"/>
        <v>0</v>
      </c>
      <c r="AH63" s="45">
        <f t="shared" si="24"/>
        <v>0</v>
      </c>
      <c r="AI63" s="45">
        <f t="shared" si="25"/>
        <v>9177</v>
      </c>
      <c r="AJ63" s="45">
        <f t="shared" si="28"/>
        <v>0</v>
      </c>
      <c r="AK63" s="45">
        <f t="shared" si="29"/>
        <v>15295</v>
      </c>
      <c r="AL63" s="45">
        <f t="shared" si="30"/>
        <v>0</v>
      </c>
      <c r="AM63" s="45">
        <f t="shared" si="31"/>
        <v>0</v>
      </c>
      <c r="AN63" s="45">
        <f t="shared" si="32"/>
        <v>6118</v>
      </c>
      <c r="AO63" s="45">
        <f t="shared" si="33"/>
        <v>27531</v>
      </c>
      <c r="AP63" s="45">
        <f t="shared" si="34"/>
        <v>3059</v>
      </c>
      <c r="AQ63" s="45">
        <f t="shared" si="35"/>
        <v>3059</v>
      </c>
      <c r="AR63" s="45">
        <f t="shared" si="36"/>
        <v>0</v>
      </c>
      <c r="AS63" s="45">
        <f t="shared" si="37"/>
        <v>0</v>
      </c>
      <c r="AT63" s="45">
        <f t="shared" si="38"/>
        <v>0</v>
      </c>
    </row>
    <row r="64" spans="2:46" ht="12.75">
      <c r="B64" s="37" t="s">
        <v>701</v>
      </c>
      <c r="C64">
        <v>1628300</v>
      </c>
      <c r="D64" s="53"/>
      <c r="E64" s="53"/>
      <c r="F64" s="53">
        <v>1</v>
      </c>
      <c r="G64" s="53"/>
      <c r="H64" s="53"/>
      <c r="I64" s="53">
        <f t="shared" si="18"/>
        <v>1</v>
      </c>
      <c r="J64" s="46">
        <v>0.88</v>
      </c>
      <c r="K64" s="46"/>
      <c r="L64" s="46"/>
      <c r="M64" s="46"/>
      <c r="N64" s="46"/>
      <c r="O64" s="46"/>
      <c r="P64" s="46"/>
      <c r="Q64" s="46"/>
      <c r="R64" s="46"/>
      <c r="S64" s="46">
        <v>0.01</v>
      </c>
      <c r="T64" s="46"/>
      <c r="U64" s="46"/>
      <c r="V64" s="46">
        <v>0.1</v>
      </c>
      <c r="W64" s="46"/>
      <c r="X64" s="46">
        <v>0.01</v>
      </c>
      <c r="Z64" s="53">
        <f t="shared" si="26"/>
        <v>1</v>
      </c>
      <c r="AB64" s="45">
        <f t="shared" si="27"/>
        <v>1432904</v>
      </c>
      <c r="AC64" s="45">
        <f t="shared" si="19"/>
        <v>0</v>
      </c>
      <c r="AD64" s="45">
        <f t="shared" si="20"/>
        <v>0</v>
      </c>
      <c r="AE64" s="45">
        <f t="shared" si="21"/>
        <v>1432904</v>
      </c>
      <c r="AF64" s="45">
        <f t="shared" si="22"/>
        <v>0</v>
      </c>
      <c r="AG64" s="45">
        <f t="shared" si="23"/>
        <v>0</v>
      </c>
      <c r="AH64" s="45">
        <f t="shared" si="24"/>
        <v>0</v>
      </c>
      <c r="AI64" s="45">
        <f t="shared" si="25"/>
        <v>0</v>
      </c>
      <c r="AJ64" s="45">
        <f t="shared" si="28"/>
        <v>0</v>
      </c>
      <c r="AK64" s="45">
        <f t="shared" si="29"/>
        <v>0</v>
      </c>
      <c r="AL64" s="45">
        <f t="shared" si="30"/>
        <v>0</v>
      </c>
      <c r="AM64" s="45">
        <f t="shared" si="31"/>
        <v>0</v>
      </c>
      <c r="AN64" s="45">
        <f t="shared" si="32"/>
        <v>0</v>
      </c>
      <c r="AO64" s="45">
        <f t="shared" si="33"/>
        <v>16283</v>
      </c>
      <c r="AP64" s="45">
        <f t="shared" si="34"/>
        <v>0</v>
      </c>
      <c r="AQ64" s="45">
        <f t="shared" si="35"/>
        <v>0</v>
      </c>
      <c r="AR64" s="45">
        <f t="shared" si="36"/>
        <v>162830</v>
      </c>
      <c r="AS64" s="45">
        <f t="shared" si="37"/>
        <v>0</v>
      </c>
      <c r="AT64" s="45">
        <f t="shared" si="38"/>
        <v>16283</v>
      </c>
    </row>
    <row r="65" spans="10:46" ht="12.75">
      <c r="J65" s="46"/>
      <c r="K65" s="46"/>
      <c r="L65" s="46"/>
      <c r="M65" s="46"/>
      <c r="N65" s="46"/>
      <c r="O65" s="46"/>
      <c r="P65" s="46"/>
      <c r="Q65" s="46"/>
      <c r="R65" s="46"/>
      <c r="S65" s="46"/>
      <c r="T65" s="46"/>
      <c r="U65" s="46"/>
      <c r="V65" s="46"/>
      <c r="W65" s="46"/>
      <c r="X65" s="46"/>
      <c r="Z65" s="53">
        <f t="shared" si="26"/>
        <v>0</v>
      </c>
      <c r="AB65" s="45">
        <f t="shared" si="27"/>
        <v>0</v>
      </c>
      <c r="AC65" s="45"/>
      <c r="AD65" s="45"/>
      <c r="AE65" s="45"/>
      <c r="AF65" s="45"/>
      <c r="AG65" s="45"/>
      <c r="AH65" s="45">
        <f t="shared" si="24"/>
        <v>0</v>
      </c>
      <c r="AI65" s="45">
        <f t="shared" si="25"/>
        <v>0</v>
      </c>
      <c r="AJ65" s="45">
        <f t="shared" si="28"/>
        <v>0</v>
      </c>
      <c r="AK65" s="45">
        <f t="shared" si="29"/>
        <v>0</v>
      </c>
      <c r="AL65" s="45">
        <f t="shared" si="30"/>
        <v>0</v>
      </c>
      <c r="AM65" s="45">
        <f t="shared" si="31"/>
        <v>0</v>
      </c>
      <c r="AN65" s="45">
        <f t="shared" si="32"/>
        <v>0</v>
      </c>
      <c r="AO65" s="45">
        <f t="shared" si="33"/>
        <v>0</v>
      </c>
      <c r="AP65" s="45">
        <f t="shared" si="34"/>
        <v>0</v>
      </c>
      <c r="AQ65" s="45">
        <f t="shared" si="35"/>
        <v>0</v>
      </c>
      <c r="AR65" s="45">
        <f t="shared" si="36"/>
        <v>0</v>
      </c>
      <c r="AS65" s="45">
        <f t="shared" si="37"/>
        <v>0</v>
      </c>
      <c r="AT65" s="45">
        <f t="shared" si="38"/>
        <v>0</v>
      </c>
    </row>
    <row r="66" spans="10:46" ht="12.75">
      <c r="J66" s="46"/>
      <c r="K66" s="46"/>
      <c r="L66" s="46"/>
      <c r="M66" s="46"/>
      <c r="N66" s="46"/>
      <c r="O66" s="46"/>
      <c r="P66" s="46"/>
      <c r="Q66" s="46"/>
      <c r="R66" s="46"/>
      <c r="S66" s="46"/>
      <c r="T66" s="46"/>
      <c r="U66" s="46"/>
      <c r="V66" s="46"/>
      <c r="W66" s="46"/>
      <c r="X66" s="46"/>
      <c r="Z66" s="53">
        <f t="shared" si="26"/>
        <v>0</v>
      </c>
      <c r="AB66" s="45">
        <f t="shared" si="27"/>
        <v>0</v>
      </c>
      <c r="AC66" s="45"/>
      <c r="AD66" s="45"/>
      <c r="AE66" s="45"/>
      <c r="AF66" s="45"/>
      <c r="AG66" s="45"/>
      <c r="AH66" s="45">
        <f t="shared" si="24"/>
        <v>0</v>
      </c>
      <c r="AI66" s="45">
        <f t="shared" si="25"/>
        <v>0</v>
      </c>
      <c r="AJ66" s="45">
        <f t="shared" si="28"/>
        <v>0</v>
      </c>
      <c r="AK66" s="45">
        <f t="shared" si="29"/>
        <v>0</v>
      </c>
      <c r="AL66" s="45">
        <f t="shared" si="30"/>
        <v>0</v>
      </c>
      <c r="AM66" s="45">
        <f t="shared" si="31"/>
        <v>0</v>
      </c>
      <c r="AN66" s="45">
        <f t="shared" si="32"/>
        <v>0</v>
      </c>
      <c r="AO66" s="45">
        <f t="shared" si="33"/>
        <v>0</v>
      </c>
      <c r="AP66" s="45">
        <f t="shared" si="34"/>
        <v>0</v>
      </c>
      <c r="AQ66" s="45">
        <f t="shared" si="35"/>
        <v>0</v>
      </c>
      <c r="AR66" s="45">
        <f t="shared" si="36"/>
        <v>0</v>
      </c>
      <c r="AS66" s="45">
        <f t="shared" si="37"/>
        <v>0</v>
      </c>
      <c r="AT66" s="45">
        <f t="shared" si="38"/>
        <v>0</v>
      </c>
    </row>
    <row r="67" spans="10:46" ht="12.75">
      <c r="J67" s="46"/>
      <c r="K67" s="46"/>
      <c r="L67" s="46"/>
      <c r="M67" s="46"/>
      <c r="N67" s="46"/>
      <c r="O67" s="46"/>
      <c r="P67" s="46"/>
      <c r="Q67" s="46"/>
      <c r="R67" s="46"/>
      <c r="S67" s="46"/>
      <c r="T67" s="46"/>
      <c r="U67" s="46"/>
      <c r="V67" s="46"/>
      <c r="W67" s="46"/>
      <c r="X67" s="46"/>
      <c r="Z67" s="53">
        <f t="shared" si="26"/>
        <v>0</v>
      </c>
      <c r="AB67" s="45">
        <f t="shared" si="27"/>
        <v>0</v>
      </c>
      <c r="AC67" s="45"/>
      <c r="AD67" s="45"/>
      <c r="AE67" s="45"/>
      <c r="AF67" s="45"/>
      <c r="AG67" s="45"/>
      <c r="AH67" s="45">
        <f t="shared" si="24"/>
        <v>0</v>
      </c>
      <c r="AI67" s="45">
        <f t="shared" si="25"/>
        <v>0</v>
      </c>
      <c r="AJ67" s="45">
        <f t="shared" si="28"/>
        <v>0</v>
      </c>
      <c r="AK67" s="45">
        <f t="shared" si="29"/>
        <v>0</v>
      </c>
      <c r="AL67" s="45">
        <f t="shared" si="30"/>
        <v>0</v>
      </c>
      <c r="AM67" s="45">
        <f t="shared" si="31"/>
        <v>0</v>
      </c>
      <c r="AN67" s="45">
        <f t="shared" si="32"/>
        <v>0</v>
      </c>
      <c r="AO67" s="45">
        <f t="shared" si="33"/>
        <v>0</v>
      </c>
      <c r="AP67" s="45">
        <f t="shared" si="34"/>
        <v>0</v>
      </c>
      <c r="AQ67" s="45">
        <f t="shared" si="35"/>
        <v>0</v>
      </c>
      <c r="AR67" s="45">
        <f t="shared" si="36"/>
        <v>0</v>
      </c>
      <c r="AS67" s="45">
        <f t="shared" si="37"/>
        <v>0</v>
      </c>
      <c r="AT67" s="45">
        <f t="shared" si="38"/>
        <v>0</v>
      </c>
    </row>
    <row r="68" spans="1:46" ht="12.75">
      <c r="A68" s="37" t="s">
        <v>703</v>
      </c>
      <c r="B68" s="37" t="s">
        <v>702</v>
      </c>
      <c r="C68">
        <v>5000</v>
      </c>
      <c r="J68" s="46">
        <v>0.3</v>
      </c>
      <c r="K68" s="46"/>
      <c r="L68" s="46"/>
      <c r="M68" s="46"/>
      <c r="N68" s="46"/>
      <c r="O68" s="46"/>
      <c r="P68" s="46"/>
      <c r="Q68" s="46">
        <v>0.5</v>
      </c>
      <c r="R68" s="46">
        <v>0.2</v>
      </c>
      <c r="S68" s="46"/>
      <c r="T68" s="46"/>
      <c r="U68" s="46"/>
      <c r="V68" s="46"/>
      <c r="W68" s="46"/>
      <c r="X68" s="46"/>
      <c r="Z68" s="53">
        <f t="shared" si="26"/>
        <v>1</v>
      </c>
      <c r="AB68" s="45">
        <f t="shared" si="27"/>
        <v>1500</v>
      </c>
      <c r="AC68" s="45"/>
      <c r="AD68" s="45"/>
      <c r="AE68" s="45"/>
      <c r="AF68" s="45"/>
      <c r="AG68" s="45"/>
      <c r="AH68" s="45">
        <f t="shared" si="24"/>
        <v>0</v>
      </c>
      <c r="AI68" s="45">
        <f t="shared" si="25"/>
        <v>0</v>
      </c>
      <c r="AJ68" s="45">
        <f t="shared" si="28"/>
        <v>0</v>
      </c>
      <c r="AK68" s="45">
        <f t="shared" si="29"/>
        <v>0</v>
      </c>
      <c r="AL68" s="45">
        <f t="shared" si="30"/>
        <v>0</v>
      </c>
      <c r="AM68" s="45">
        <f t="shared" si="31"/>
        <v>2500</v>
      </c>
      <c r="AN68" s="45">
        <f t="shared" si="32"/>
        <v>1000</v>
      </c>
      <c r="AO68" s="45">
        <f t="shared" si="33"/>
        <v>0</v>
      </c>
      <c r="AP68" s="45">
        <f t="shared" si="34"/>
        <v>0</v>
      </c>
      <c r="AQ68" s="45">
        <f t="shared" si="35"/>
        <v>0</v>
      </c>
      <c r="AR68" s="45">
        <f t="shared" si="36"/>
        <v>0</v>
      </c>
      <c r="AS68" s="45">
        <f t="shared" si="37"/>
        <v>0</v>
      </c>
      <c r="AT68" s="45">
        <f t="shared" si="38"/>
        <v>0</v>
      </c>
    </row>
    <row r="69" spans="1:46" ht="12.75">
      <c r="A69" s="37" t="s">
        <v>703</v>
      </c>
      <c r="B69" s="37" t="s">
        <v>704</v>
      </c>
      <c r="C69">
        <v>150000</v>
      </c>
      <c r="J69" s="46">
        <v>0.15</v>
      </c>
      <c r="K69" s="46"/>
      <c r="L69" s="46"/>
      <c r="M69" s="46"/>
      <c r="N69" s="46"/>
      <c r="O69" s="46">
        <v>0.2</v>
      </c>
      <c r="P69" s="46"/>
      <c r="Q69" s="46">
        <v>0.4</v>
      </c>
      <c r="R69" s="46">
        <v>0.1</v>
      </c>
      <c r="S69" s="46">
        <v>0.1</v>
      </c>
      <c r="T69" s="46"/>
      <c r="U69" s="46"/>
      <c r="V69" s="46"/>
      <c r="W69" s="46"/>
      <c r="X69" s="46">
        <v>0.05</v>
      </c>
      <c r="Z69" s="53">
        <f t="shared" si="26"/>
        <v>1</v>
      </c>
      <c r="AB69" s="45">
        <f t="shared" si="27"/>
        <v>22500</v>
      </c>
      <c r="AC69" s="45"/>
      <c r="AD69" s="45"/>
      <c r="AE69" s="45"/>
      <c r="AF69" s="45"/>
      <c r="AG69" s="45"/>
      <c r="AH69" s="45">
        <f t="shared" si="24"/>
        <v>0</v>
      </c>
      <c r="AI69" s="45">
        <f t="shared" si="25"/>
        <v>0</v>
      </c>
      <c r="AJ69" s="45">
        <f t="shared" si="28"/>
        <v>0</v>
      </c>
      <c r="AK69" s="45">
        <f t="shared" si="29"/>
        <v>30000</v>
      </c>
      <c r="AL69" s="45">
        <f t="shared" si="30"/>
        <v>0</v>
      </c>
      <c r="AM69" s="45">
        <f t="shared" si="31"/>
        <v>60000</v>
      </c>
      <c r="AN69" s="45">
        <f t="shared" si="32"/>
        <v>15000</v>
      </c>
      <c r="AO69" s="45">
        <f t="shared" si="33"/>
        <v>15000</v>
      </c>
      <c r="AP69" s="45">
        <f t="shared" si="34"/>
        <v>0</v>
      </c>
      <c r="AQ69" s="45">
        <f t="shared" si="35"/>
        <v>0</v>
      </c>
      <c r="AR69" s="45">
        <f t="shared" si="36"/>
        <v>0</v>
      </c>
      <c r="AS69" s="45">
        <f t="shared" si="37"/>
        <v>0</v>
      </c>
      <c r="AT69" s="45">
        <f t="shared" si="38"/>
        <v>7500</v>
      </c>
    </row>
    <row r="70" spans="1:46" ht="12.75">
      <c r="A70" s="37" t="s">
        <v>703</v>
      </c>
      <c r="B70" s="37" t="s">
        <v>991</v>
      </c>
      <c r="C70">
        <v>100000</v>
      </c>
      <c r="J70" s="46">
        <v>0.2</v>
      </c>
      <c r="K70" s="46"/>
      <c r="L70" s="46"/>
      <c r="M70" s="46"/>
      <c r="N70" s="46"/>
      <c r="O70" s="46">
        <v>0.2</v>
      </c>
      <c r="P70" s="46"/>
      <c r="Q70" s="46">
        <v>0.4</v>
      </c>
      <c r="R70" s="46">
        <v>0.1</v>
      </c>
      <c r="S70" s="46">
        <v>0.1</v>
      </c>
      <c r="T70" s="46"/>
      <c r="U70" s="46"/>
      <c r="V70" s="46"/>
      <c r="W70" s="46"/>
      <c r="X70" s="46"/>
      <c r="Z70" s="53">
        <f t="shared" si="26"/>
        <v>1</v>
      </c>
      <c r="AB70" s="45">
        <f t="shared" si="27"/>
        <v>20000</v>
      </c>
      <c r="AC70" s="45"/>
      <c r="AD70" s="45"/>
      <c r="AE70" s="45"/>
      <c r="AF70" s="45"/>
      <c r="AG70" s="45"/>
      <c r="AH70" s="45">
        <f aca="true" t="shared" si="39" ref="AH70:AI72">$C70*K70</f>
        <v>0</v>
      </c>
      <c r="AI70" s="45">
        <f t="shared" si="39"/>
        <v>0</v>
      </c>
      <c r="AJ70" s="45">
        <f t="shared" si="28"/>
        <v>0</v>
      </c>
      <c r="AK70" s="45">
        <f t="shared" si="29"/>
        <v>20000</v>
      </c>
      <c r="AL70" s="45">
        <f t="shared" si="30"/>
        <v>0</v>
      </c>
      <c r="AM70" s="45">
        <f t="shared" si="31"/>
        <v>40000</v>
      </c>
      <c r="AN70" s="45">
        <f t="shared" si="32"/>
        <v>10000</v>
      </c>
      <c r="AO70" s="45">
        <f t="shared" si="33"/>
        <v>10000</v>
      </c>
      <c r="AP70" s="45">
        <f t="shared" si="34"/>
        <v>0</v>
      </c>
      <c r="AQ70" s="45">
        <f t="shared" si="35"/>
        <v>0</v>
      </c>
      <c r="AR70" s="45">
        <f t="shared" si="36"/>
        <v>0</v>
      </c>
      <c r="AS70" s="45">
        <f t="shared" si="37"/>
        <v>0</v>
      </c>
      <c r="AT70" s="45">
        <f t="shared" si="38"/>
        <v>0</v>
      </c>
    </row>
    <row r="71" spans="1:46" ht="12.75">
      <c r="A71" s="37" t="s">
        <v>703</v>
      </c>
      <c r="B71" s="37" t="s">
        <v>998</v>
      </c>
      <c r="C71">
        <v>5000</v>
      </c>
      <c r="J71" s="46">
        <v>0.15</v>
      </c>
      <c r="K71" s="46"/>
      <c r="L71" s="46">
        <v>0.25</v>
      </c>
      <c r="M71" s="46"/>
      <c r="N71" s="46"/>
      <c r="O71" s="46"/>
      <c r="P71" s="46"/>
      <c r="Q71" s="46"/>
      <c r="R71" s="46">
        <v>0.35</v>
      </c>
      <c r="S71" s="46">
        <v>0.25</v>
      </c>
      <c r="T71" s="46"/>
      <c r="U71" s="46"/>
      <c r="V71" s="46"/>
      <c r="W71" s="46"/>
      <c r="X71" s="46"/>
      <c r="Z71" s="53">
        <f t="shared" si="26"/>
        <v>1</v>
      </c>
      <c r="AB71" s="45">
        <f t="shared" si="27"/>
        <v>750</v>
      </c>
      <c r="AC71" s="45"/>
      <c r="AD71" s="45"/>
      <c r="AE71" s="45"/>
      <c r="AF71" s="45"/>
      <c r="AG71" s="45"/>
      <c r="AH71" s="45">
        <f t="shared" si="39"/>
        <v>0</v>
      </c>
      <c r="AI71" s="45">
        <f t="shared" si="39"/>
        <v>1250</v>
      </c>
      <c r="AJ71" s="45">
        <f t="shared" si="28"/>
        <v>0</v>
      </c>
      <c r="AK71" s="45">
        <f t="shared" si="29"/>
        <v>0</v>
      </c>
      <c r="AL71" s="45">
        <f t="shared" si="30"/>
        <v>0</v>
      </c>
      <c r="AM71" s="45">
        <f t="shared" si="31"/>
        <v>0</v>
      </c>
      <c r="AN71" s="45">
        <f t="shared" si="32"/>
        <v>1750</v>
      </c>
      <c r="AO71" s="45">
        <f t="shared" si="33"/>
        <v>1250</v>
      </c>
      <c r="AP71" s="45">
        <f t="shared" si="34"/>
        <v>0</v>
      </c>
      <c r="AQ71" s="45">
        <f t="shared" si="35"/>
        <v>0</v>
      </c>
      <c r="AR71" s="45">
        <f t="shared" si="36"/>
        <v>0</v>
      </c>
      <c r="AS71" s="45">
        <f t="shared" si="37"/>
        <v>0</v>
      </c>
      <c r="AT71" s="45">
        <f t="shared" si="38"/>
        <v>0</v>
      </c>
    </row>
    <row r="72" spans="1:46" ht="12.75">
      <c r="A72" s="37" t="s">
        <v>703</v>
      </c>
      <c r="B72" s="37" t="s">
        <v>999</v>
      </c>
      <c r="C72">
        <v>10000</v>
      </c>
      <c r="J72" s="46">
        <v>0.15</v>
      </c>
      <c r="K72" s="46"/>
      <c r="L72" s="46">
        <v>0.25</v>
      </c>
      <c r="M72" s="46"/>
      <c r="N72" s="46"/>
      <c r="O72" s="46"/>
      <c r="P72" s="46"/>
      <c r="Q72" s="46"/>
      <c r="R72" s="46">
        <v>0.35</v>
      </c>
      <c r="S72" s="46">
        <v>0.25</v>
      </c>
      <c r="T72" s="46"/>
      <c r="U72" s="46"/>
      <c r="V72" s="46"/>
      <c r="W72" s="46"/>
      <c r="X72" s="46"/>
      <c r="Z72" s="53">
        <f t="shared" si="26"/>
        <v>1</v>
      </c>
      <c r="AB72" s="45">
        <f t="shared" si="27"/>
        <v>1500</v>
      </c>
      <c r="AC72" s="45"/>
      <c r="AD72" s="45"/>
      <c r="AE72" s="45"/>
      <c r="AF72" s="45"/>
      <c r="AG72" s="45"/>
      <c r="AH72" s="45">
        <f t="shared" si="39"/>
        <v>0</v>
      </c>
      <c r="AI72" s="45">
        <f t="shared" si="39"/>
        <v>2500</v>
      </c>
      <c r="AJ72" s="45">
        <f t="shared" si="28"/>
        <v>0</v>
      </c>
      <c r="AK72" s="45">
        <f t="shared" si="29"/>
        <v>0</v>
      </c>
      <c r="AL72" s="45">
        <f t="shared" si="30"/>
        <v>0</v>
      </c>
      <c r="AM72" s="45">
        <f t="shared" si="31"/>
        <v>0</v>
      </c>
      <c r="AN72" s="45">
        <f t="shared" si="32"/>
        <v>3500</v>
      </c>
      <c r="AO72" s="45">
        <f t="shared" si="33"/>
        <v>2500</v>
      </c>
      <c r="AP72" s="45">
        <f t="shared" si="34"/>
        <v>0</v>
      </c>
      <c r="AQ72" s="45">
        <f t="shared" si="35"/>
        <v>0</v>
      </c>
      <c r="AR72" s="45">
        <f t="shared" si="36"/>
        <v>0</v>
      </c>
      <c r="AS72" s="45">
        <f t="shared" si="37"/>
        <v>0</v>
      </c>
      <c r="AT72" s="45">
        <f t="shared" si="38"/>
        <v>0</v>
      </c>
    </row>
    <row r="73" spans="1:46" ht="12.75">
      <c r="A73" s="37" t="s">
        <v>703</v>
      </c>
      <c r="B73" s="37" t="s">
        <v>705</v>
      </c>
      <c r="C73">
        <v>30000</v>
      </c>
      <c r="J73" s="46">
        <v>0.15</v>
      </c>
      <c r="K73" s="46"/>
      <c r="L73" s="46">
        <v>0.1</v>
      </c>
      <c r="M73" s="46"/>
      <c r="N73" s="46"/>
      <c r="O73" s="46"/>
      <c r="P73" s="46"/>
      <c r="Q73" s="46"/>
      <c r="R73" s="46">
        <v>0.65</v>
      </c>
      <c r="S73" s="46">
        <v>0.1</v>
      </c>
      <c r="T73" s="46"/>
      <c r="U73" s="46"/>
      <c r="V73" s="46"/>
      <c r="W73" s="46"/>
      <c r="X73" s="46"/>
      <c r="Z73" s="53">
        <f t="shared" si="26"/>
        <v>1</v>
      </c>
      <c r="AB73" s="45">
        <f t="shared" si="27"/>
        <v>4500</v>
      </c>
      <c r="AC73" s="45"/>
      <c r="AD73" s="45"/>
      <c r="AE73" s="45"/>
      <c r="AF73" s="45"/>
      <c r="AG73" s="45"/>
      <c r="AH73" s="45">
        <f t="shared" si="24"/>
        <v>0</v>
      </c>
      <c r="AI73" s="45">
        <f t="shared" si="25"/>
        <v>3000</v>
      </c>
      <c r="AJ73" s="45">
        <f t="shared" si="28"/>
        <v>0</v>
      </c>
      <c r="AK73" s="45">
        <f t="shared" si="29"/>
        <v>0</v>
      </c>
      <c r="AL73" s="45">
        <f t="shared" si="30"/>
        <v>0</v>
      </c>
      <c r="AM73" s="45">
        <f t="shared" si="31"/>
        <v>0</v>
      </c>
      <c r="AN73" s="45">
        <f t="shared" si="32"/>
        <v>19500</v>
      </c>
      <c r="AO73" s="45">
        <f t="shared" si="33"/>
        <v>3000</v>
      </c>
      <c r="AP73" s="45">
        <f t="shared" si="34"/>
        <v>0</v>
      </c>
      <c r="AQ73" s="45">
        <f t="shared" si="35"/>
        <v>0</v>
      </c>
      <c r="AR73" s="45">
        <f t="shared" si="36"/>
        <v>0</v>
      </c>
      <c r="AS73" s="45">
        <f t="shared" si="37"/>
        <v>0</v>
      </c>
      <c r="AT73" s="45">
        <f t="shared" si="38"/>
        <v>0</v>
      </c>
    </row>
    <row r="74" spans="1:46" ht="12.75">
      <c r="A74" s="37" t="s">
        <v>703</v>
      </c>
      <c r="B74" s="37" t="s">
        <v>997</v>
      </c>
      <c r="C74">
        <v>10000</v>
      </c>
      <c r="J74" s="46">
        <v>0.2</v>
      </c>
      <c r="K74" s="46"/>
      <c r="L74" s="46"/>
      <c r="M74" s="46"/>
      <c r="N74" s="46"/>
      <c r="O74" s="46"/>
      <c r="P74" s="46"/>
      <c r="Q74" s="46"/>
      <c r="R74" s="46">
        <v>0.4</v>
      </c>
      <c r="S74" s="46">
        <v>0.4</v>
      </c>
      <c r="T74" s="46"/>
      <c r="U74" s="46"/>
      <c r="V74" s="46"/>
      <c r="W74" s="46"/>
      <c r="X74" s="46"/>
      <c r="Z74" s="53">
        <f aca="true" t="shared" si="40" ref="Z74:Z98">SUM(J74:X74)</f>
        <v>1</v>
      </c>
      <c r="AB74" s="45">
        <f aca="true" t="shared" si="41" ref="AB74:AB98">$C74*J74</f>
        <v>2000</v>
      </c>
      <c r="AC74" s="45"/>
      <c r="AD74" s="45"/>
      <c r="AE74" s="45"/>
      <c r="AF74" s="45"/>
      <c r="AG74" s="45"/>
      <c r="AH74" s="45">
        <f aca="true" t="shared" si="42" ref="AH74:AH92">$C74*K74</f>
        <v>0</v>
      </c>
      <c r="AI74" s="45">
        <f aca="true" t="shared" si="43" ref="AI74:AI92">$C74*L74</f>
        <v>0</v>
      </c>
      <c r="AJ74" s="45">
        <f aca="true" t="shared" si="44" ref="AJ74:AJ98">$C74*N74</f>
        <v>0</v>
      </c>
      <c r="AK74" s="45">
        <f aca="true" t="shared" si="45" ref="AK74:AK98">$C74*O74</f>
        <v>0</v>
      </c>
      <c r="AL74" s="45">
        <f aca="true" t="shared" si="46" ref="AL74:AL98">$C74*P74</f>
        <v>0</v>
      </c>
      <c r="AM74" s="45">
        <f aca="true" t="shared" si="47" ref="AM74:AM98">$C74*Q74</f>
        <v>0</v>
      </c>
      <c r="AN74" s="45">
        <f aca="true" t="shared" si="48" ref="AN74:AN98">$C74*R74</f>
        <v>4000</v>
      </c>
      <c r="AO74" s="45">
        <f aca="true" t="shared" si="49" ref="AO74:AO98">$C74*S74</f>
        <v>4000</v>
      </c>
      <c r="AP74" s="45">
        <f aca="true" t="shared" si="50" ref="AP74:AP98">$C74*T74</f>
        <v>0</v>
      </c>
      <c r="AQ74" s="45">
        <f aca="true" t="shared" si="51" ref="AQ74:AQ98">$C74*U74</f>
        <v>0</v>
      </c>
      <c r="AR74" s="45">
        <f aca="true" t="shared" si="52" ref="AR74:AR98">$C74*V74</f>
        <v>0</v>
      </c>
      <c r="AS74" s="45">
        <f aca="true" t="shared" si="53" ref="AS74:AS98">$C74*W74</f>
        <v>0</v>
      </c>
      <c r="AT74" s="45">
        <f aca="true" t="shared" si="54" ref="AT74:AT98">$C74*X74</f>
        <v>0</v>
      </c>
    </row>
    <row r="75" spans="1:46" ht="12.75">
      <c r="A75" s="37" t="s">
        <v>703</v>
      </c>
      <c r="B75" s="37" t="s">
        <v>1000</v>
      </c>
      <c r="C75">
        <v>10000</v>
      </c>
      <c r="J75" s="46">
        <v>0.2</v>
      </c>
      <c r="K75" s="46"/>
      <c r="L75" s="46"/>
      <c r="M75" s="46"/>
      <c r="N75" s="46"/>
      <c r="O75" s="46"/>
      <c r="P75" s="46"/>
      <c r="Q75" s="46"/>
      <c r="R75" s="46">
        <v>0.4</v>
      </c>
      <c r="S75" s="46">
        <v>0.4</v>
      </c>
      <c r="T75" s="46"/>
      <c r="U75" s="46"/>
      <c r="V75" s="46"/>
      <c r="W75" s="46"/>
      <c r="X75" s="46"/>
      <c r="Z75" s="53">
        <f t="shared" si="40"/>
        <v>1</v>
      </c>
      <c r="AB75" s="45">
        <f t="shared" si="41"/>
        <v>2000</v>
      </c>
      <c r="AC75" s="45"/>
      <c r="AD75" s="45"/>
      <c r="AE75" s="45"/>
      <c r="AF75" s="45"/>
      <c r="AG75" s="45"/>
      <c r="AH75" s="45">
        <f t="shared" si="42"/>
        <v>0</v>
      </c>
      <c r="AI75" s="45">
        <f t="shared" si="43"/>
        <v>0</v>
      </c>
      <c r="AJ75" s="45">
        <f t="shared" si="44"/>
        <v>0</v>
      </c>
      <c r="AK75" s="45">
        <f t="shared" si="45"/>
        <v>0</v>
      </c>
      <c r="AL75" s="45">
        <f t="shared" si="46"/>
        <v>0</v>
      </c>
      <c r="AM75" s="45">
        <f t="shared" si="47"/>
        <v>0</v>
      </c>
      <c r="AN75" s="45">
        <f t="shared" si="48"/>
        <v>4000</v>
      </c>
      <c r="AO75" s="45">
        <f t="shared" si="49"/>
        <v>4000</v>
      </c>
      <c r="AP75" s="45">
        <f t="shared" si="50"/>
        <v>0</v>
      </c>
      <c r="AQ75" s="45">
        <f t="shared" si="51"/>
        <v>0</v>
      </c>
      <c r="AR75" s="45">
        <f t="shared" si="52"/>
        <v>0</v>
      </c>
      <c r="AS75" s="45">
        <f t="shared" si="53"/>
        <v>0</v>
      </c>
      <c r="AT75" s="45">
        <f t="shared" si="54"/>
        <v>0</v>
      </c>
    </row>
    <row r="76" spans="1:46" ht="12.75">
      <c r="A76" s="37" t="s">
        <v>703</v>
      </c>
      <c r="B76" s="37" t="s">
        <v>996</v>
      </c>
      <c r="C76">
        <v>10000</v>
      </c>
      <c r="J76" s="46">
        <v>0.2</v>
      </c>
      <c r="K76" s="46"/>
      <c r="L76" s="46">
        <v>0.35</v>
      </c>
      <c r="M76" s="46"/>
      <c r="N76" s="46"/>
      <c r="O76" s="46"/>
      <c r="P76" s="46"/>
      <c r="Q76" s="46"/>
      <c r="R76" s="46">
        <v>0.35</v>
      </c>
      <c r="S76" s="46">
        <v>0.1</v>
      </c>
      <c r="T76" s="46"/>
      <c r="U76" s="46"/>
      <c r="V76" s="46"/>
      <c r="W76" s="46"/>
      <c r="X76" s="46"/>
      <c r="Z76" s="53">
        <f t="shared" si="40"/>
        <v>1</v>
      </c>
      <c r="AB76" s="45">
        <f t="shared" si="41"/>
        <v>2000</v>
      </c>
      <c r="AC76" s="45"/>
      <c r="AD76" s="45"/>
      <c r="AE76" s="45"/>
      <c r="AF76" s="45"/>
      <c r="AG76" s="45"/>
      <c r="AH76" s="45">
        <f t="shared" si="42"/>
        <v>0</v>
      </c>
      <c r="AI76" s="45">
        <f t="shared" si="43"/>
        <v>3500</v>
      </c>
      <c r="AJ76" s="45">
        <f t="shared" si="44"/>
        <v>0</v>
      </c>
      <c r="AK76" s="45">
        <f t="shared" si="45"/>
        <v>0</v>
      </c>
      <c r="AL76" s="45">
        <f t="shared" si="46"/>
        <v>0</v>
      </c>
      <c r="AM76" s="45">
        <f t="shared" si="47"/>
        <v>0</v>
      </c>
      <c r="AN76" s="45">
        <f t="shared" si="48"/>
        <v>3500</v>
      </c>
      <c r="AO76" s="45">
        <f t="shared" si="49"/>
        <v>1000</v>
      </c>
      <c r="AP76" s="45">
        <f t="shared" si="50"/>
        <v>0</v>
      </c>
      <c r="AQ76" s="45">
        <f t="shared" si="51"/>
        <v>0</v>
      </c>
      <c r="AR76" s="45">
        <f t="shared" si="52"/>
        <v>0</v>
      </c>
      <c r="AS76" s="45">
        <f t="shared" si="53"/>
        <v>0</v>
      </c>
      <c r="AT76" s="45">
        <f t="shared" si="54"/>
        <v>0</v>
      </c>
    </row>
    <row r="77" spans="1:46" ht="12.75">
      <c r="A77" s="37" t="s">
        <v>703</v>
      </c>
      <c r="B77" s="37" t="s">
        <v>1001</v>
      </c>
      <c r="C77">
        <v>10000</v>
      </c>
      <c r="J77" s="46">
        <v>0.2</v>
      </c>
      <c r="K77" s="46"/>
      <c r="L77" s="46">
        <v>0.35</v>
      </c>
      <c r="M77" s="46"/>
      <c r="N77" s="46"/>
      <c r="O77" s="46"/>
      <c r="P77" s="46"/>
      <c r="Q77" s="46"/>
      <c r="R77" s="46">
        <v>0.35</v>
      </c>
      <c r="S77" s="46">
        <v>0.1</v>
      </c>
      <c r="T77" s="46"/>
      <c r="U77" s="46"/>
      <c r="V77" s="46"/>
      <c r="W77" s="46"/>
      <c r="X77" s="46"/>
      <c r="Z77" s="53">
        <f t="shared" si="40"/>
        <v>1</v>
      </c>
      <c r="AB77" s="45">
        <f t="shared" si="41"/>
        <v>2000</v>
      </c>
      <c r="AC77" s="45"/>
      <c r="AD77" s="45"/>
      <c r="AE77" s="45"/>
      <c r="AF77" s="45"/>
      <c r="AG77" s="45"/>
      <c r="AH77" s="45">
        <f t="shared" si="42"/>
        <v>0</v>
      </c>
      <c r="AI77" s="45">
        <f t="shared" si="43"/>
        <v>3500</v>
      </c>
      <c r="AJ77" s="45">
        <f t="shared" si="44"/>
        <v>0</v>
      </c>
      <c r="AK77" s="45">
        <f t="shared" si="45"/>
        <v>0</v>
      </c>
      <c r="AL77" s="45">
        <f t="shared" si="46"/>
        <v>0</v>
      </c>
      <c r="AM77" s="45">
        <f t="shared" si="47"/>
        <v>0</v>
      </c>
      <c r="AN77" s="45">
        <f t="shared" si="48"/>
        <v>3500</v>
      </c>
      <c r="AO77" s="45">
        <f t="shared" si="49"/>
        <v>1000</v>
      </c>
      <c r="AP77" s="45">
        <f t="shared" si="50"/>
        <v>0</v>
      </c>
      <c r="AQ77" s="45">
        <f t="shared" si="51"/>
        <v>0</v>
      </c>
      <c r="AR77" s="45">
        <f t="shared" si="52"/>
        <v>0</v>
      </c>
      <c r="AS77" s="45">
        <f t="shared" si="53"/>
        <v>0</v>
      </c>
      <c r="AT77" s="45">
        <f t="shared" si="54"/>
        <v>0</v>
      </c>
    </row>
    <row r="78" spans="1:46" ht="12.75">
      <c r="A78" s="37" t="s">
        <v>703</v>
      </c>
      <c r="B78" s="37" t="s">
        <v>994</v>
      </c>
      <c r="C78">
        <v>20000</v>
      </c>
      <c r="J78" s="46">
        <v>0.2</v>
      </c>
      <c r="K78" s="46"/>
      <c r="L78" s="46">
        <v>0.4</v>
      </c>
      <c r="M78" s="46"/>
      <c r="N78" s="46"/>
      <c r="O78" s="46"/>
      <c r="P78" s="46"/>
      <c r="Q78" s="46"/>
      <c r="R78" s="46">
        <v>0.4</v>
      </c>
      <c r="S78" s="46"/>
      <c r="T78" s="46"/>
      <c r="U78" s="46"/>
      <c r="V78" s="46"/>
      <c r="W78" s="46"/>
      <c r="X78" s="46"/>
      <c r="Z78" s="53">
        <f t="shared" si="40"/>
        <v>1</v>
      </c>
      <c r="AB78" s="45">
        <f t="shared" si="41"/>
        <v>4000</v>
      </c>
      <c r="AC78" s="45"/>
      <c r="AD78" s="45"/>
      <c r="AE78" s="45"/>
      <c r="AF78" s="45"/>
      <c r="AG78" s="45"/>
      <c r="AH78" s="45">
        <f t="shared" si="42"/>
        <v>0</v>
      </c>
      <c r="AI78" s="45">
        <f t="shared" si="43"/>
        <v>8000</v>
      </c>
      <c r="AJ78" s="45">
        <f t="shared" si="44"/>
        <v>0</v>
      </c>
      <c r="AK78" s="45">
        <f t="shared" si="45"/>
        <v>0</v>
      </c>
      <c r="AL78" s="45">
        <f t="shared" si="46"/>
        <v>0</v>
      </c>
      <c r="AM78" s="45">
        <f t="shared" si="47"/>
        <v>0</v>
      </c>
      <c r="AN78" s="45">
        <f t="shared" si="48"/>
        <v>8000</v>
      </c>
      <c r="AO78" s="45">
        <f t="shared" si="49"/>
        <v>0</v>
      </c>
      <c r="AP78" s="45">
        <f t="shared" si="50"/>
        <v>0</v>
      </c>
      <c r="AQ78" s="45">
        <f t="shared" si="51"/>
        <v>0</v>
      </c>
      <c r="AR78" s="45">
        <f t="shared" si="52"/>
        <v>0</v>
      </c>
      <c r="AS78" s="45">
        <f t="shared" si="53"/>
        <v>0</v>
      </c>
      <c r="AT78" s="45">
        <f t="shared" si="54"/>
        <v>0</v>
      </c>
    </row>
    <row r="79" spans="1:46" ht="12.75">
      <c r="A79" s="37" t="s">
        <v>703</v>
      </c>
      <c r="B79" s="37" t="s">
        <v>706</v>
      </c>
      <c r="C79">
        <v>30000</v>
      </c>
      <c r="J79" s="46">
        <v>0.15</v>
      </c>
      <c r="K79" s="46"/>
      <c r="L79" s="46">
        <v>0.15</v>
      </c>
      <c r="M79" s="46"/>
      <c r="N79" s="46"/>
      <c r="O79" s="46"/>
      <c r="P79" s="46"/>
      <c r="Q79" s="46"/>
      <c r="R79" s="46">
        <v>0.7</v>
      </c>
      <c r="S79" s="46"/>
      <c r="T79" s="46"/>
      <c r="U79" s="46"/>
      <c r="V79" s="46"/>
      <c r="W79" s="46"/>
      <c r="X79" s="46"/>
      <c r="Z79" s="53">
        <f t="shared" si="40"/>
        <v>1</v>
      </c>
      <c r="AB79" s="45">
        <f t="shared" si="41"/>
        <v>4500</v>
      </c>
      <c r="AC79" s="45"/>
      <c r="AD79" s="45"/>
      <c r="AE79" s="45"/>
      <c r="AF79" s="45"/>
      <c r="AG79" s="45"/>
      <c r="AH79" s="45">
        <f t="shared" si="42"/>
        <v>0</v>
      </c>
      <c r="AI79" s="45">
        <f t="shared" si="43"/>
        <v>4500</v>
      </c>
      <c r="AJ79" s="45">
        <f t="shared" si="44"/>
        <v>0</v>
      </c>
      <c r="AK79" s="45">
        <f t="shared" si="45"/>
        <v>0</v>
      </c>
      <c r="AL79" s="45">
        <f t="shared" si="46"/>
        <v>0</v>
      </c>
      <c r="AM79" s="45">
        <f t="shared" si="47"/>
        <v>0</v>
      </c>
      <c r="AN79" s="45">
        <f t="shared" si="48"/>
        <v>21000</v>
      </c>
      <c r="AO79" s="45">
        <f t="shared" si="49"/>
        <v>0</v>
      </c>
      <c r="AP79" s="45">
        <f t="shared" si="50"/>
        <v>0</v>
      </c>
      <c r="AQ79" s="45">
        <f t="shared" si="51"/>
        <v>0</v>
      </c>
      <c r="AR79" s="45">
        <f t="shared" si="52"/>
        <v>0</v>
      </c>
      <c r="AS79" s="45">
        <f t="shared" si="53"/>
        <v>0</v>
      </c>
      <c r="AT79" s="45">
        <f t="shared" si="54"/>
        <v>0</v>
      </c>
    </row>
    <row r="80" spans="1:46" ht="12.75">
      <c r="A80" s="37" t="s">
        <v>703</v>
      </c>
      <c r="B80" s="37" t="s">
        <v>995</v>
      </c>
      <c r="C80">
        <v>10000</v>
      </c>
      <c r="J80" s="46">
        <v>0.2</v>
      </c>
      <c r="K80" s="46"/>
      <c r="L80" s="46">
        <v>0.4</v>
      </c>
      <c r="M80" s="46"/>
      <c r="N80" s="46"/>
      <c r="O80" s="46"/>
      <c r="P80" s="46"/>
      <c r="Q80" s="46"/>
      <c r="R80" s="46">
        <v>0.4</v>
      </c>
      <c r="S80" s="46"/>
      <c r="T80" s="46"/>
      <c r="U80" s="46"/>
      <c r="V80" s="46"/>
      <c r="W80" s="46"/>
      <c r="X80" s="46"/>
      <c r="Z80" s="53">
        <f t="shared" si="40"/>
        <v>1</v>
      </c>
      <c r="AB80" s="45">
        <f t="shared" si="41"/>
        <v>2000</v>
      </c>
      <c r="AC80" s="45"/>
      <c r="AD80" s="45"/>
      <c r="AE80" s="45"/>
      <c r="AF80" s="45"/>
      <c r="AG80" s="45"/>
      <c r="AH80" s="45">
        <f t="shared" si="42"/>
        <v>0</v>
      </c>
      <c r="AI80" s="45">
        <f t="shared" si="43"/>
        <v>4000</v>
      </c>
      <c r="AJ80" s="45">
        <f t="shared" si="44"/>
        <v>0</v>
      </c>
      <c r="AK80" s="45">
        <f t="shared" si="45"/>
        <v>0</v>
      </c>
      <c r="AL80" s="45">
        <f t="shared" si="46"/>
        <v>0</v>
      </c>
      <c r="AM80" s="45">
        <f t="shared" si="47"/>
        <v>0</v>
      </c>
      <c r="AN80" s="45">
        <f t="shared" si="48"/>
        <v>4000</v>
      </c>
      <c r="AO80" s="45">
        <f t="shared" si="49"/>
        <v>0</v>
      </c>
      <c r="AP80" s="45">
        <f t="shared" si="50"/>
        <v>0</v>
      </c>
      <c r="AQ80" s="45">
        <f t="shared" si="51"/>
        <v>0</v>
      </c>
      <c r="AR80" s="45">
        <f t="shared" si="52"/>
        <v>0</v>
      </c>
      <c r="AS80" s="45">
        <f t="shared" si="53"/>
        <v>0</v>
      </c>
      <c r="AT80" s="45">
        <f t="shared" si="54"/>
        <v>0</v>
      </c>
    </row>
    <row r="81" spans="1:46" ht="12.75">
      <c r="A81" s="37" t="s">
        <v>703</v>
      </c>
      <c r="B81" s="37" t="s">
        <v>992</v>
      </c>
      <c r="C81">
        <v>20000</v>
      </c>
      <c r="J81" s="46">
        <v>0.15</v>
      </c>
      <c r="K81" s="46"/>
      <c r="L81" s="46">
        <v>0.45</v>
      </c>
      <c r="M81" s="46"/>
      <c r="N81" s="46"/>
      <c r="O81" s="46"/>
      <c r="P81" s="46"/>
      <c r="Q81" s="46"/>
      <c r="R81" s="46">
        <v>0.35</v>
      </c>
      <c r="S81" s="46">
        <v>0.05</v>
      </c>
      <c r="T81" s="46"/>
      <c r="U81" s="46"/>
      <c r="V81" s="46"/>
      <c r="W81" s="46"/>
      <c r="X81" s="46"/>
      <c r="Z81" s="53">
        <f t="shared" si="40"/>
        <v>1</v>
      </c>
      <c r="AB81" s="45">
        <f t="shared" si="41"/>
        <v>3000</v>
      </c>
      <c r="AC81" s="45"/>
      <c r="AD81" s="45"/>
      <c r="AE81" s="45"/>
      <c r="AF81" s="45"/>
      <c r="AG81" s="45"/>
      <c r="AH81" s="45">
        <f t="shared" si="42"/>
        <v>0</v>
      </c>
      <c r="AI81" s="45">
        <f t="shared" si="43"/>
        <v>9000</v>
      </c>
      <c r="AJ81" s="45">
        <f t="shared" si="44"/>
        <v>0</v>
      </c>
      <c r="AK81" s="45">
        <f t="shared" si="45"/>
        <v>0</v>
      </c>
      <c r="AL81" s="45">
        <f t="shared" si="46"/>
        <v>0</v>
      </c>
      <c r="AM81" s="45">
        <f t="shared" si="47"/>
        <v>0</v>
      </c>
      <c r="AN81" s="45">
        <f t="shared" si="48"/>
        <v>7000</v>
      </c>
      <c r="AO81" s="45">
        <f t="shared" si="49"/>
        <v>1000</v>
      </c>
      <c r="AP81" s="45">
        <f t="shared" si="50"/>
        <v>0</v>
      </c>
      <c r="AQ81" s="45">
        <f t="shared" si="51"/>
        <v>0</v>
      </c>
      <c r="AR81" s="45">
        <f t="shared" si="52"/>
        <v>0</v>
      </c>
      <c r="AS81" s="45">
        <f t="shared" si="53"/>
        <v>0</v>
      </c>
      <c r="AT81" s="45">
        <f t="shared" si="54"/>
        <v>0</v>
      </c>
    </row>
    <row r="82" spans="1:46" ht="12.75">
      <c r="A82" s="37" t="s">
        <v>703</v>
      </c>
      <c r="B82" s="37" t="s">
        <v>1002</v>
      </c>
      <c r="C82">
        <v>20000</v>
      </c>
      <c r="J82" s="46">
        <v>0.1</v>
      </c>
      <c r="K82" s="46">
        <v>0.85</v>
      </c>
      <c r="L82" s="46"/>
      <c r="M82" s="46"/>
      <c r="N82" s="46"/>
      <c r="O82" s="46"/>
      <c r="P82" s="46">
        <v>0.05</v>
      </c>
      <c r="Q82" s="46"/>
      <c r="R82" s="46"/>
      <c r="S82" s="46"/>
      <c r="T82" s="46"/>
      <c r="U82" s="46"/>
      <c r="V82" s="46"/>
      <c r="W82" s="46"/>
      <c r="X82" s="46"/>
      <c r="Z82" s="53">
        <f t="shared" si="40"/>
        <v>1</v>
      </c>
      <c r="AB82" s="45">
        <f t="shared" si="41"/>
        <v>2000</v>
      </c>
      <c r="AC82" s="45"/>
      <c r="AD82" s="45"/>
      <c r="AE82" s="45"/>
      <c r="AF82" s="45"/>
      <c r="AG82" s="45"/>
      <c r="AH82" s="45">
        <f t="shared" si="42"/>
        <v>17000</v>
      </c>
      <c r="AI82" s="45">
        <f t="shared" si="43"/>
        <v>0</v>
      </c>
      <c r="AJ82" s="45">
        <f t="shared" si="44"/>
        <v>0</v>
      </c>
      <c r="AK82" s="45">
        <f t="shared" si="45"/>
        <v>0</v>
      </c>
      <c r="AL82" s="45">
        <f t="shared" si="46"/>
        <v>1000</v>
      </c>
      <c r="AM82" s="45">
        <f t="shared" si="47"/>
        <v>0</v>
      </c>
      <c r="AN82" s="45">
        <f t="shared" si="48"/>
        <v>0</v>
      </c>
      <c r="AO82" s="45">
        <f t="shared" si="49"/>
        <v>0</v>
      </c>
      <c r="AP82" s="45">
        <f t="shared" si="50"/>
        <v>0</v>
      </c>
      <c r="AQ82" s="45">
        <f t="shared" si="51"/>
        <v>0</v>
      </c>
      <c r="AR82" s="45">
        <f t="shared" si="52"/>
        <v>0</v>
      </c>
      <c r="AS82" s="45">
        <f t="shared" si="53"/>
        <v>0</v>
      </c>
      <c r="AT82" s="45">
        <f t="shared" si="54"/>
        <v>0</v>
      </c>
    </row>
    <row r="83" spans="1:46" ht="12.75">
      <c r="A83" s="37" t="s">
        <v>703</v>
      </c>
      <c r="B83" s="37" t="s">
        <v>1003</v>
      </c>
      <c r="C83">
        <v>5000</v>
      </c>
      <c r="J83" s="46">
        <v>0.1</v>
      </c>
      <c r="K83" s="46">
        <v>0.85</v>
      </c>
      <c r="L83" s="46"/>
      <c r="M83" s="46"/>
      <c r="N83" s="46"/>
      <c r="O83" s="46"/>
      <c r="P83" s="46">
        <v>0.05</v>
      </c>
      <c r="Q83" s="46"/>
      <c r="R83" s="46"/>
      <c r="S83" s="46"/>
      <c r="T83" s="46"/>
      <c r="U83" s="46"/>
      <c r="V83" s="46"/>
      <c r="W83" s="46"/>
      <c r="X83" s="46"/>
      <c r="Z83" s="53">
        <f t="shared" si="40"/>
        <v>1</v>
      </c>
      <c r="AB83" s="45">
        <f t="shared" si="41"/>
        <v>500</v>
      </c>
      <c r="AC83" s="45"/>
      <c r="AD83" s="45"/>
      <c r="AE83" s="45"/>
      <c r="AF83" s="45"/>
      <c r="AG83" s="45"/>
      <c r="AH83" s="45">
        <f t="shared" si="42"/>
        <v>4250</v>
      </c>
      <c r="AI83" s="45">
        <f t="shared" si="43"/>
        <v>0</v>
      </c>
      <c r="AJ83" s="45">
        <f t="shared" si="44"/>
        <v>0</v>
      </c>
      <c r="AK83" s="45">
        <f t="shared" si="45"/>
        <v>0</v>
      </c>
      <c r="AL83" s="45">
        <f t="shared" si="46"/>
        <v>250</v>
      </c>
      <c r="AM83" s="45">
        <f t="shared" si="47"/>
        <v>0</v>
      </c>
      <c r="AN83" s="45">
        <f t="shared" si="48"/>
        <v>0</v>
      </c>
      <c r="AO83" s="45">
        <f t="shared" si="49"/>
        <v>0</v>
      </c>
      <c r="AP83" s="45">
        <f t="shared" si="50"/>
        <v>0</v>
      </c>
      <c r="AQ83" s="45">
        <f t="shared" si="51"/>
        <v>0</v>
      </c>
      <c r="AR83" s="45">
        <f t="shared" si="52"/>
        <v>0</v>
      </c>
      <c r="AS83" s="45">
        <f t="shared" si="53"/>
        <v>0</v>
      </c>
      <c r="AT83" s="45">
        <f t="shared" si="54"/>
        <v>0</v>
      </c>
    </row>
    <row r="84" spans="1:46" ht="12.75">
      <c r="A84" s="37" t="s">
        <v>703</v>
      </c>
      <c r="B84" s="37" t="s">
        <v>1004</v>
      </c>
      <c r="C84">
        <v>20000</v>
      </c>
      <c r="J84" s="46">
        <v>0.1</v>
      </c>
      <c r="K84" s="46">
        <v>0.85</v>
      </c>
      <c r="L84" s="46"/>
      <c r="M84" s="46"/>
      <c r="N84" s="46"/>
      <c r="O84" s="46"/>
      <c r="P84" s="46">
        <v>0.05</v>
      </c>
      <c r="Q84" s="46"/>
      <c r="R84" s="46"/>
      <c r="S84" s="46"/>
      <c r="T84" s="46"/>
      <c r="U84" s="46"/>
      <c r="V84" s="46"/>
      <c r="W84" s="46"/>
      <c r="X84" s="46"/>
      <c r="Z84" s="53">
        <f t="shared" si="40"/>
        <v>1</v>
      </c>
      <c r="AB84" s="45">
        <f t="shared" si="41"/>
        <v>2000</v>
      </c>
      <c r="AC84" s="45"/>
      <c r="AD84" s="45"/>
      <c r="AE84" s="45"/>
      <c r="AF84" s="45"/>
      <c r="AG84" s="45"/>
      <c r="AH84" s="45">
        <f t="shared" si="42"/>
        <v>17000</v>
      </c>
      <c r="AI84" s="45">
        <f t="shared" si="43"/>
        <v>0</v>
      </c>
      <c r="AJ84" s="45">
        <f t="shared" si="44"/>
        <v>0</v>
      </c>
      <c r="AK84" s="45">
        <f t="shared" si="45"/>
        <v>0</v>
      </c>
      <c r="AL84" s="45">
        <f t="shared" si="46"/>
        <v>1000</v>
      </c>
      <c r="AM84" s="45">
        <f t="shared" si="47"/>
        <v>0</v>
      </c>
      <c r="AN84" s="45">
        <f t="shared" si="48"/>
        <v>0</v>
      </c>
      <c r="AO84" s="45">
        <f t="shared" si="49"/>
        <v>0</v>
      </c>
      <c r="AP84" s="45">
        <f t="shared" si="50"/>
        <v>0</v>
      </c>
      <c r="AQ84" s="45">
        <f t="shared" si="51"/>
        <v>0</v>
      </c>
      <c r="AR84" s="45">
        <f t="shared" si="52"/>
        <v>0</v>
      </c>
      <c r="AS84" s="45">
        <f t="shared" si="53"/>
        <v>0</v>
      </c>
      <c r="AT84" s="45">
        <f t="shared" si="54"/>
        <v>0</v>
      </c>
    </row>
    <row r="85" spans="1:46" ht="12.75">
      <c r="A85" s="37" t="s">
        <v>703</v>
      </c>
      <c r="B85" s="37" t="s">
        <v>1005</v>
      </c>
      <c r="C85">
        <v>5000</v>
      </c>
      <c r="J85" s="46">
        <v>0.1</v>
      </c>
      <c r="K85" s="46">
        <v>0.65</v>
      </c>
      <c r="L85" s="46"/>
      <c r="M85" s="46"/>
      <c r="N85" s="46"/>
      <c r="O85" s="46"/>
      <c r="P85" s="46">
        <v>0.05</v>
      </c>
      <c r="Q85" s="46"/>
      <c r="R85" s="46">
        <v>0.1</v>
      </c>
      <c r="S85" s="46">
        <v>0.1</v>
      </c>
      <c r="T85" s="46"/>
      <c r="U85" s="46"/>
      <c r="V85" s="46"/>
      <c r="W85" s="46"/>
      <c r="X85" s="46"/>
      <c r="Z85" s="53">
        <f t="shared" si="40"/>
        <v>1</v>
      </c>
      <c r="AB85" s="45">
        <f t="shared" si="41"/>
        <v>500</v>
      </c>
      <c r="AC85" s="45"/>
      <c r="AD85" s="45"/>
      <c r="AE85" s="45"/>
      <c r="AF85" s="45"/>
      <c r="AG85" s="45"/>
      <c r="AH85" s="45">
        <f t="shared" si="42"/>
        <v>3250</v>
      </c>
      <c r="AI85" s="45">
        <f t="shared" si="43"/>
        <v>0</v>
      </c>
      <c r="AJ85" s="45">
        <f t="shared" si="44"/>
        <v>0</v>
      </c>
      <c r="AK85" s="45">
        <f t="shared" si="45"/>
        <v>0</v>
      </c>
      <c r="AL85" s="45">
        <f t="shared" si="46"/>
        <v>250</v>
      </c>
      <c r="AM85" s="45">
        <f t="shared" si="47"/>
        <v>0</v>
      </c>
      <c r="AN85" s="45">
        <f t="shared" si="48"/>
        <v>500</v>
      </c>
      <c r="AO85" s="45">
        <f t="shared" si="49"/>
        <v>500</v>
      </c>
      <c r="AP85" s="45">
        <f t="shared" si="50"/>
        <v>0</v>
      </c>
      <c r="AQ85" s="45">
        <f t="shared" si="51"/>
        <v>0</v>
      </c>
      <c r="AR85" s="45">
        <f t="shared" si="52"/>
        <v>0</v>
      </c>
      <c r="AS85" s="45">
        <f t="shared" si="53"/>
        <v>0</v>
      </c>
      <c r="AT85" s="45">
        <f t="shared" si="54"/>
        <v>0</v>
      </c>
    </row>
    <row r="86" spans="1:46" ht="12.75">
      <c r="A86" s="37" t="s">
        <v>703</v>
      </c>
      <c r="B86" s="37" t="s">
        <v>1006</v>
      </c>
      <c r="C86">
        <v>5000</v>
      </c>
      <c r="J86" s="46">
        <v>0.25</v>
      </c>
      <c r="K86" s="46">
        <v>0.75</v>
      </c>
      <c r="L86" s="46"/>
      <c r="M86" s="46"/>
      <c r="N86" s="46"/>
      <c r="O86" s="46"/>
      <c r="P86" s="46"/>
      <c r="Q86" s="46"/>
      <c r="R86" s="46"/>
      <c r="S86" s="46"/>
      <c r="T86" s="46"/>
      <c r="U86" s="46"/>
      <c r="V86" s="46"/>
      <c r="W86" s="46"/>
      <c r="X86" s="46"/>
      <c r="Z86" s="53">
        <f t="shared" si="40"/>
        <v>1</v>
      </c>
      <c r="AB86" s="45">
        <f t="shared" si="41"/>
        <v>1250</v>
      </c>
      <c r="AC86" s="45"/>
      <c r="AD86" s="45"/>
      <c r="AE86" s="45"/>
      <c r="AF86" s="45"/>
      <c r="AG86" s="45"/>
      <c r="AH86" s="45">
        <f t="shared" si="42"/>
        <v>3750</v>
      </c>
      <c r="AI86" s="45">
        <f t="shared" si="43"/>
        <v>0</v>
      </c>
      <c r="AJ86" s="45">
        <f t="shared" si="44"/>
        <v>0</v>
      </c>
      <c r="AK86" s="45">
        <f t="shared" si="45"/>
        <v>0</v>
      </c>
      <c r="AL86" s="45">
        <f t="shared" si="46"/>
        <v>0</v>
      </c>
      <c r="AM86" s="45">
        <f t="shared" si="47"/>
        <v>0</v>
      </c>
      <c r="AN86" s="45">
        <f t="shared" si="48"/>
        <v>0</v>
      </c>
      <c r="AO86" s="45">
        <f t="shared" si="49"/>
        <v>0</v>
      </c>
      <c r="AP86" s="45">
        <f t="shared" si="50"/>
        <v>0</v>
      </c>
      <c r="AQ86" s="45">
        <f t="shared" si="51"/>
        <v>0</v>
      </c>
      <c r="AR86" s="45">
        <f t="shared" si="52"/>
        <v>0</v>
      </c>
      <c r="AS86" s="45">
        <f t="shared" si="53"/>
        <v>0</v>
      </c>
      <c r="AT86" s="45">
        <f t="shared" si="54"/>
        <v>0</v>
      </c>
    </row>
    <row r="87" spans="1:46" ht="12.75">
      <c r="A87" s="37" t="s">
        <v>703</v>
      </c>
      <c r="B87" s="37" t="s">
        <v>1007</v>
      </c>
      <c r="C87">
        <v>1000</v>
      </c>
      <c r="J87" s="46">
        <v>0.25</v>
      </c>
      <c r="K87" s="46">
        <v>0.75</v>
      </c>
      <c r="L87" s="46"/>
      <c r="M87" s="46"/>
      <c r="N87" s="46"/>
      <c r="O87" s="46"/>
      <c r="P87" s="46"/>
      <c r="Q87" s="46"/>
      <c r="R87" s="46"/>
      <c r="S87" s="46"/>
      <c r="T87" s="46"/>
      <c r="U87" s="46"/>
      <c r="V87" s="46"/>
      <c r="W87" s="46"/>
      <c r="X87" s="46"/>
      <c r="Z87" s="53">
        <f t="shared" si="40"/>
        <v>1</v>
      </c>
      <c r="AB87" s="45">
        <f t="shared" si="41"/>
        <v>250</v>
      </c>
      <c r="AC87" s="45"/>
      <c r="AD87" s="45"/>
      <c r="AE87" s="45"/>
      <c r="AF87" s="45"/>
      <c r="AG87" s="45"/>
      <c r="AH87" s="45">
        <f t="shared" si="42"/>
        <v>750</v>
      </c>
      <c r="AI87" s="45">
        <f t="shared" si="43"/>
        <v>0</v>
      </c>
      <c r="AJ87" s="45">
        <f t="shared" si="44"/>
        <v>0</v>
      </c>
      <c r="AK87" s="45">
        <f t="shared" si="45"/>
        <v>0</v>
      </c>
      <c r="AL87" s="45">
        <f t="shared" si="46"/>
        <v>0</v>
      </c>
      <c r="AM87" s="45">
        <f t="shared" si="47"/>
        <v>0</v>
      </c>
      <c r="AN87" s="45">
        <f t="shared" si="48"/>
        <v>0</v>
      </c>
      <c r="AO87" s="45">
        <f t="shared" si="49"/>
        <v>0</v>
      </c>
      <c r="AP87" s="45">
        <f t="shared" si="50"/>
        <v>0</v>
      </c>
      <c r="AQ87" s="45">
        <f t="shared" si="51"/>
        <v>0</v>
      </c>
      <c r="AR87" s="45">
        <f t="shared" si="52"/>
        <v>0</v>
      </c>
      <c r="AS87" s="45">
        <f t="shared" si="53"/>
        <v>0</v>
      </c>
      <c r="AT87" s="45">
        <f t="shared" si="54"/>
        <v>0</v>
      </c>
    </row>
    <row r="88" spans="1:46" ht="12.75">
      <c r="A88" s="37" t="s">
        <v>703</v>
      </c>
      <c r="B88" s="37" t="s">
        <v>1008</v>
      </c>
      <c r="C88">
        <v>2000</v>
      </c>
      <c r="J88" s="46">
        <v>0.25</v>
      </c>
      <c r="K88" s="46">
        <v>0.75</v>
      </c>
      <c r="L88" s="46"/>
      <c r="M88" s="46"/>
      <c r="N88" s="46"/>
      <c r="O88" s="46"/>
      <c r="P88" s="46"/>
      <c r="Q88" s="46"/>
      <c r="R88" s="46"/>
      <c r="S88" s="46"/>
      <c r="T88" s="46"/>
      <c r="U88" s="46"/>
      <c r="V88" s="46"/>
      <c r="W88" s="46"/>
      <c r="X88" s="46"/>
      <c r="Z88" s="53">
        <f t="shared" si="40"/>
        <v>1</v>
      </c>
      <c r="AB88" s="45">
        <f t="shared" si="41"/>
        <v>500</v>
      </c>
      <c r="AC88" s="45"/>
      <c r="AD88" s="45"/>
      <c r="AE88" s="45"/>
      <c r="AF88" s="45"/>
      <c r="AG88" s="45"/>
      <c r="AH88" s="45">
        <f t="shared" si="42"/>
        <v>1500</v>
      </c>
      <c r="AI88" s="45">
        <f t="shared" si="43"/>
        <v>0</v>
      </c>
      <c r="AJ88" s="45">
        <f t="shared" si="44"/>
        <v>0</v>
      </c>
      <c r="AK88" s="45">
        <f t="shared" si="45"/>
        <v>0</v>
      </c>
      <c r="AL88" s="45">
        <f t="shared" si="46"/>
        <v>0</v>
      </c>
      <c r="AM88" s="45">
        <f t="shared" si="47"/>
        <v>0</v>
      </c>
      <c r="AN88" s="45">
        <f t="shared" si="48"/>
        <v>0</v>
      </c>
      <c r="AO88" s="45">
        <f t="shared" si="49"/>
        <v>0</v>
      </c>
      <c r="AP88" s="45">
        <f t="shared" si="50"/>
        <v>0</v>
      </c>
      <c r="AQ88" s="45">
        <f t="shared" si="51"/>
        <v>0</v>
      </c>
      <c r="AR88" s="45">
        <f t="shared" si="52"/>
        <v>0</v>
      </c>
      <c r="AS88" s="45">
        <f t="shared" si="53"/>
        <v>0</v>
      </c>
      <c r="AT88" s="45">
        <f t="shared" si="54"/>
        <v>0</v>
      </c>
    </row>
    <row r="89" spans="1:46" ht="12.75">
      <c r="A89" s="37" t="s">
        <v>703</v>
      </c>
      <c r="B89" s="37" t="s">
        <v>990</v>
      </c>
      <c r="C89">
        <v>200000</v>
      </c>
      <c r="J89" s="46">
        <v>0.1</v>
      </c>
      <c r="K89" s="46">
        <v>0.6</v>
      </c>
      <c r="L89" s="46"/>
      <c r="M89" s="46"/>
      <c r="N89" s="46"/>
      <c r="O89" s="46"/>
      <c r="P89" s="46">
        <v>0.05</v>
      </c>
      <c r="Q89" s="46"/>
      <c r="R89" s="46">
        <v>0.15</v>
      </c>
      <c r="S89" s="46">
        <v>0.1</v>
      </c>
      <c r="T89" s="46"/>
      <c r="U89" s="46"/>
      <c r="V89" s="46"/>
      <c r="W89" s="46"/>
      <c r="X89" s="46"/>
      <c r="Z89" s="53">
        <f t="shared" si="40"/>
        <v>1</v>
      </c>
      <c r="AB89" s="45">
        <f t="shared" si="41"/>
        <v>20000</v>
      </c>
      <c r="AC89" s="45"/>
      <c r="AD89" s="45"/>
      <c r="AE89" s="45"/>
      <c r="AF89" s="45"/>
      <c r="AG89" s="45"/>
      <c r="AH89" s="45">
        <f t="shared" si="42"/>
        <v>120000</v>
      </c>
      <c r="AI89" s="45">
        <f t="shared" si="43"/>
        <v>0</v>
      </c>
      <c r="AJ89" s="45">
        <f t="shared" si="44"/>
        <v>0</v>
      </c>
      <c r="AK89" s="45">
        <f t="shared" si="45"/>
        <v>0</v>
      </c>
      <c r="AL89" s="45">
        <f t="shared" si="46"/>
        <v>10000</v>
      </c>
      <c r="AM89" s="45">
        <f t="shared" si="47"/>
        <v>0</v>
      </c>
      <c r="AN89" s="45">
        <f t="shared" si="48"/>
        <v>30000</v>
      </c>
      <c r="AO89" s="45">
        <f t="shared" si="49"/>
        <v>20000</v>
      </c>
      <c r="AP89" s="45">
        <f t="shared" si="50"/>
        <v>0</v>
      </c>
      <c r="AQ89" s="45">
        <f t="shared" si="51"/>
        <v>0</v>
      </c>
      <c r="AR89" s="45">
        <f t="shared" si="52"/>
        <v>0</v>
      </c>
      <c r="AS89" s="45">
        <f t="shared" si="53"/>
        <v>0</v>
      </c>
      <c r="AT89" s="45">
        <f t="shared" si="54"/>
        <v>0</v>
      </c>
    </row>
    <row r="90" spans="1:46" ht="12.75">
      <c r="A90" s="37" t="s">
        <v>703</v>
      </c>
      <c r="B90" s="37" t="s">
        <v>1009</v>
      </c>
      <c r="C90">
        <v>60000</v>
      </c>
      <c r="J90" s="46">
        <v>0.1</v>
      </c>
      <c r="K90" s="46">
        <v>0.75</v>
      </c>
      <c r="L90" s="46"/>
      <c r="M90" s="46"/>
      <c r="N90" s="46"/>
      <c r="O90" s="46"/>
      <c r="P90" s="46">
        <v>0.05</v>
      </c>
      <c r="Q90" s="46"/>
      <c r="R90" s="46">
        <v>0.1</v>
      </c>
      <c r="S90" s="46"/>
      <c r="T90" s="46"/>
      <c r="U90" s="46"/>
      <c r="V90" s="46"/>
      <c r="W90" s="46"/>
      <c r="X90" s="46"/>
      <c r="Z90" s="53">
        <f t="shared" si="40"/>
        <v>1</v>
      </c>
      <c r="AB90" s="45">
        <f t="shared" si="41"/>
        <v>6000</v>
      </c>
      <c r="AC90" s="45"/>
      <c r="AD90" s="45"/>
      <c r="AE90" s="45"/>
      <c r="AF90" s="45"/>
      <c r="AG90" s="45"/>
      <c r="AH90" s="45">
        <f t="shared" si="42"/>
        <v>45000</v>
      </c>
      <c r="AI90" s="45">
        <f t="shared" si="43"/>
        <v>0</v>
      </c>
      <c r="AJ90" s="45">
        <f t="shared" si="44"/>
        <v>0</v>
      </c>
      <c r="AK90" s="45">
        <f t="shared" si="45"/>
        <v>0</v>
      </c>
      <c r="AL90" s="45">
        <f t="shared" si="46"/>
        <v>3000</v>
      </c>
      <c r="AM90" s="45">
        <f t="shared" si="47"/>
        <v>0</v>
      </c>
      <c r="AN90" s="45">
        <f t="shared" si="48"/>
        <v>6000</v>
      </c>
      <c r="AO90" s="45">
        <f t="shared" si="49"/>
        <v>0</v>
      </c>
      <c r="AP90" s="45">
        <f t="shared" si="50"/>
        <v>0</v>
      </c>
      <c r="AQ90" s="45">
        <f t="shared" si="51"/>
        <v>0</v>
      </c>
      <c r="AR90" s="45">
        <f t="shared" si="52"/>
        <v>0</v>
      </c>
      <c r="AS90" s="45">
        <f t="shared" si="53"/>
        <v>0</v>
      </c>
      <c r="AT90" s="45">
        <f t="shared" si="54"/>
        <v>0</v>
      </c>
    </row>
    <row r="91" spans="1:46" ht="12.75">
      <c r="A91" s="37" t="s">
        <v>703</v>
      </c>
      <c r="B91" s="37" t="s">
        <v>1010</v>
      </c>
      <c r="C91">
        <v>1000</v>
      </c>
      <c r="J91" s="46">
        <v>0.1</v>
      </c>
      <c r="K91" s="46">
        <v>0.9</v>
      </c>
      <c r="L91" s="46"/>
      <c r="M91" s="46"/>
      <c r="N91" s="46"/>
      <c r="O91" s="46"/>
      <c r="P91" s="46"/>
      <c r="Q91" s="46"/>
      <c r="R91" s="46"/>
      <c r="S91" s="46"/>
      <c r="T91" s="46"/>
      <c r="U91" s="46"/>
      <c r="V91" s="46"/>
      <c r="W91" s="46"/>
      <c r="X91" s="46"/>
      <c r="Z91" s="53">
        <f t="shared" si="40"/>
        <v>1</v>
      </c>
      <c r="AB91" s="45">
        <f t="shared" si="41"/>
        <v>100</v>
      </c>
      <c r="AC91" s="45"/>
      <c r="AD91" s="45"/>
      <c r="AE91" s="45"/>
      <c r="AF91" s="45"/>
      <c r="AG91" s="45"/>
      <c r="AH91" s="45">
        <f t="shared" si="42"/>
        <v>900</v>
      </c>
      <c r="AI91" s="45">
        <f t="shared" si="43"/>
        <v>0</v>
      </c>
      <c r="AJ91" s="45">
        <f t="shared" si="44"/>
        <v>0</v>
      </c>
      <c r="AK91" s="45">
        <f t="shared" si="45"/>
        <v>0</v>
      </c>
      <c r="AL91" s="45">
        <f t="shared" si="46"/>
        <v>0</v>
      </c>
      <c r="AM91" s="45">
        <f t="shared" si="47"/>
        <v>0</v>
      </c>
      <c r="AN91" s="45">
        <f t="shared" si="48"/>
        <v>0</v>
      </c>
      <c r="AO91" s="45">
        <f t="shared" si="49"/>
        <v>0</v>
      </c>
      <c r="AP91" s="45">
        <f t="shared" si="50"/>
        <v>0</v>
      </c>
      <c r="AQ91" s="45">
        <f t="shared" si="51"/>
        <v>0</v>
      </c>
      <c r="AR91" s="45">
        <f t="shared" si="52"/>
        <v>0</v>
      </c>
      <c r="AS91" s="45">
        <f t="shared" si="53"/>
        <v>0</v>
      </c>
      <c r="AT91" s="45">
        <f t="shared" si="54"/>
        <v>0</v>
      </c>
    </row>
    <row r="92" spans="1:46" ht="12.75">
      <c r="A92" s="37" t="s">
        <v>703</v>
      </c>
      <c r="B92" s="37" t="s">
        <v>1011</v>
      </c>
      <c r="C92">
        <v>40000</v>
      </c>
      <c r="J92" s="46">
        <v>0.1</v>
      </c>
      <c r="K92" s="46">
        <v>0.75</v>
      </c>
      <c r="L92" s="46"/>
      <c r="M92" s="46"/>
      <c r="N92" s="46"/>
      <c r="O92" s="46"/>
      <c r="P92" s="46">
        <v>0.05</v>
      </c>
      <c r="Q92" s="46"/>
      <c r="R92" s="46">
        <v>0.1</v>
      </c>
      <c r="S92" s="46"/>
      <c r="T92" s="46"/>
      <c r="U92" s="46"/>
      <c r="V92" s="46"/>
      <c r="W92" s="46"/>
      <c r="X92" s="46"/>
      <c r="Z92" s="53">
        <f t="shared" si="40"/>
        <v>1</v>
      </c>
      <c r="AB92" s="45">
        <f t="shared" si="41"/>
        <v>4000</v>
      </c>
      <c r="AC92" s="45"/>
      <c r="AD92" s="45"/>
      <c r="AE92" s="45"/>
      <c r="AF92" s="45"/>
      <c r="AG92" s="45"/>
      <c r="AH92" s="45">
        <f t="shared" si="42"/>
        <v>30000</v>
      </c>
      <c r="AI92" s="45">
        <f t="shared" si="43"/>
        <v>0</v>
      </c>
      <c r="AJ92" s="45">
        <f t="shared" si="44"/>
        <v>0</v>
      </c>
      <c r="AK92" s="45">
        <f t="shared" si="45"/>
        <v>0</v>
      </c>
      <c r="AL92" s="45">
        <f t="shared" si="46"/>
        <v>2000</v>
      </c>
      <c r="AM92" s="45">
        <f t="shared" si="47"/>
        <v>0</v>
      </c>
      <c r="AN92" s="45">
        <f t="shared" si="48"/>
        <v>4000</v>
      </c>
      <c r="AO92" s="45">
        <f t="shared" si="49"/>
        <v>0</v>
      </c>
      <c r="AP92" s="45">
        <f t="shared" si="50"/>
        <v>0</v>
      </c>
      <c r="AQ92" s="45">
        <f t="shared" si="51"/>
        <v>0</v>
      </c>
      <c r="AR92" s="45">
        <f t="shared" si="52"/>
        <v>0</v>
      </c>
      <c r="AS92" s="45">
        <f t="shared" si="53"/>
        <v>0</v>
      </c>
      <c r="AT92" s="45">
        <f t="shared" si="54"/>
        <v>0</v>
      </c>
    </row>
    <row r="93" spans="1:46" ht="12.75">
      <c r="A93" s="37" t="s">
        <v>703</v>
      </c>
      <c r="B93" s="37" t="s">
        <v>993</v>
      </c>
      <c r="C93">
        <v>20000</v>
      </c>
      <c r="J93" s="46">
        <v>0.1</v>
      </c>
      <c r="K93" s="46">
        <v>0.7</v>
      </c>
      <c r="L93" s="46"/>
      <c r="M93" s="46"/>
      <c r="N93" s="46"/>
      <c r="O93" s="46"/>
      <c r="P93" s="46">
        <v>0.05</v>
      </c>
      <c r="Q93" s="46"/>
      <c r="R93" s="46">
        <v>0.1</v>
      </c>
      <c r="S93" s="46">
        <v>0.05</v>
      </c>
      <c r="T93" s="46"/>
      <c r="U93" s="46"/>
      <c r="V93" s="46"/>
      <c r="W93" s="46"/>
      <c r="X93" s="46"/>
      <c r="Z93" s="53">
        <f t="shared" si="40"/>
        <v>1</v>
      </c>
      <c r="AB93" s="45">
        <f t="shared" si="41"/>
        <v>2000</v>
      </c>
      <c r="AC93" s="45"/>
      <c r="AD93" s="45"/>
      <c r="AE93" s="45"/>
      <c r="AF93" s="45"/>
      <c r="AG93" s="45"/>
      <c r="AH93" s="45">
        <f aca="true" t="shared" si="55" ref="AH93:AH98">$C93*K93</f>
        <v>14000</v>
      </c>
      <c r="AI93" s="45">
        <f aca="true" t="shared" si="56" ref="AI93:AI98">$C93*L93</f>
        <v>0</v>
      </c>
      <c r="AJ93" s="45">
        <f t="shared" si="44"/>
        <v>0</v>
      </c>
      <c r="AK93" s="45">
        <f t="shared" si="45"/>
        <v>0</v>
      </c>
      <c r="AL93" s="45">
        <f t="shared" si="46"/>
        <v>1000</v>
      </c>
      <c r="AM93" s="45">
        <f t="shared" si="47"/>
        <v>0</v>
      </c>
      <c r="AN93" s="45">
        <f t="shared" si="48"/>
        <v>2000</v>
      </c>
      <c r="AO93" s="45">
        <f t="shared" si="49"/>
        <v>1000</v>
      </c>
      <c r="AP93" s="45">
        <f t="shared" si="50"/>
        <v>0</v>
      </c>
      <c r="AQ93" s="45">
        <f t="shared" si="51"/>
        <v>0</v>
      </c>
      <c r="AR93" s="45">
        <f t="shared" si="52"/>
        <v>0</v>
      </c>
      <c r="AS93" s="45">
        <f t="shared" si="53"/>
        <v>0</v>
      </c>
      <c r="AT93" s="45">
        <f t="shared" si="54"/>
        <v>0</v>
      </c>
    </row>
    <row r="94" spans="10:46" ht="12.75">
      <c r="J94" s="46"/>
      <c r="K94" s="46"/>
      <c r="L94" s="46"/>
      <c r="M94" s="46"/>
      <c r="N94" s="46"/>
      <c r="O94" s="46"/>
      <c r="P94" s="46"/>
      <c r="Q94" s="46"/>
      <c r="R94" s="46"/>
      <c r="S94" s="46"/>
      <c r="T94" s="46"/>
      <c r="U94" s="46"/>
      <c r="V94" s="46"/>
      <c r="W94" s="46"/>
      <c r="X94" s="46"/>
      <c r="Z94" s="53">
        <f t="shared" si="40"/>
        <v>0</v>
      </c>
      <c r="AB94" s="45">
        <f t="shared" si="41"/>
        <v>0</v>
      </c>
      <c r="AC94" s="45"/>
      <c r="AD94" s="45"/>
      <c r="AE94" s="45"/>
      <c r="AF94" s="45"/>
      <c r="AG94" s="45"/>
      <c r="AH94" s="45">
        <f t="shared" si="55"/>
        <v>0</v>
      </c>
      <c r="AI94" s="45">
        <f t="shared" si="56"/>
        <v>0</v>
      </c>
      <c r="AJ94" s="45">
        <f t="shared" si="44"/>
        <v>0</v>
      </c>
      <c r="AK94" s="45">
        <f t="shared" si="45"/>
        <v>0</v>
      </c>
      <c r="AL94" s="45">
        <f t="shared" si="46"/>
        <v>0</v>
      </c>
      <c r="AM94" s="45">
        <f t="shared" si="47"/>
        <v>0</v>
      </c>
      <c r="AN94" s="45">
        <f t="shared" si="48"/>
        <v>0</v>
      </c>
      <c r="AO94" s="45">
        <f t="shared" si="49"/>
        <v>0</v>
      </c>
      <c r="AP94" s="45">
        <f t="shared" si="50"/>
        <v>0</v>
      </c>
      <c r="AQ94" s="45">
        <f t="shared" si="51"/>
        <v>0</v>
      </c>
      <c r="AR94" s="45">
        <f t="shared" si="52"/>
        <v>0</v>
      </c>
      <c r="AS94" s="45">
        <f t="shared" si="53"/>
        <v>0</v>
      </c>
      <c r="AT94" s="45">
        <f t="shared" si="54"/>
        <v>0</v>
      </c>
    </row>
    <row r="95" spans="10:46" ht="12.75">
      <c r="J95" s="46"/>
      <c r="K95" s="46"/>
      <c r="L95" s="46"/>
      <c r="M95" s="46"/>
      <c r="N95" s="46"/>
      <c r="O95" s="46"/>
      <c r="P95" s="46"/>
      <c r="Q95" s="46"/>
      <c r="R95" s="46"/>
      <c r="S95" s="46"/>
      <c r="T95" s="46"/>
      <c r="U95" s="46"/>
      <c r="V95" s="46"/>
      <c r="W95" s="46"/>
      <c r="X95" s="46"/>
      <c r="Z95" s="53">
        <f t="shared" si="40"/>
        <v>0</v>
      </c>
      <c r="AB95" s="45">
        <f t="shared" si="41"/>
        <v>0</v>
      </c>
      <c r="AC95" s="45"/>
      <c r="AD95" s="45"/>
      <c r="AE95" s="45"/>
      <c r="AF95" s="45"/>
      <c r="AG95" s="45"/>
      <c r="AH95" s="45">
        <f t="shared" si="55"/>
        <v>0</v>
      </c>
      <c r="AI95" s="45">
        <f t="shared" si="56"/>
        <v>0</v>
      </c>
      <c r="AJ95" s="45">
        <f t="shared" si="44"/>
        <v>0</v>
      </c>
      <c r="AK95" s="45">
        <f t="shared" si="45"/>
        <v>0</v>
      </c>
      <c r="AL95" s="45">
        <f t="shared" si="46"/>
        <v>0</v>
      </c>
      <c r="AM95" s="45">
        <f t="shared" si="47"/>
        <v>0</v>
      </c>
      <c r="AN95" s="45">
        <f t="shared" si="48"/>
        <v>0</v>
      </c>
      <c r="AO95" s="45">
        <f t="shared" si="49"/>
        <v>0</v>
      </c>
      <c r="AP95" s="45">
        <f t="shared" si="50"/>
        <v>0</v>
      </c>
      <c r="AQ95" s="45">
        <f t="shared" si="51"/>
        <v>0</v>
      </c>
      <c r="AR95" s="45">
        <f t="shared" si="52"/>
        <v>0</v>
      </c>
      <c r="AS95" s="45">
        <f t="shared" si="53"/>
        <v>0</v>
      </c>
      <c r="AT95" s="45">
        <f t="shared" si="54"/>
        <v>0</v>
      </c>
    </row>
    <row r="96" spans="10:46" ht="12.75">
      <c r="J96" s="46"/>
      <c r="K96" s="46"/>
      <c r="L96" s="46"/>
      <c r="M96" s="46"/>
      <c r="N96" s="46"/>
      <c r="O96" s="46"/>
      <c r="P96" s="46"/>
      <c r="Q96" s="46"/>
      <c r="R96" s="46"/>
      <c r="S96" s="46"/>
      <c r="T96" s="46"/>
      <c r="U96" s="46"/>
      <c r="V96" s="46"/>
      <c r="W96" s="46"/>
      <c r="X96" s="46"/>
      <c r="Z96" s="53">
        <f t="shared" si="40"/>
        <v>0</v>
      </c>
      <c r="AB96" s="45">
        <f t="shared" si="41"/>
        <v>0</v>
      </c>
      <c r="AC96" s="45"/>
      <c r="AD96" s="45"/>
      <c r="AE96" s="45"/>
      <c r="AF96" s="45"/>
      <c r="AG96" s="45"/>
      <c r="AH96" s="45">
        <f t="shared" si="55"/>
        <v>0</v>
      </c>
      <c r="AI96" s="45">
        <f t="shared" si="56"/>
        <v>0</v>
      </c>
      <c r="AJ96" s="45">
        <f t="shared" si="44"/>
        <v>0</v>
      </c>
      <c r="AK96" s="45">
        <f t="shared" si="45"/>
        <v>0</v>
      </c>
      <c r="AL96" s="45">
        <f t="shared" si="46"/>
        <v>0</v>
      </c>
      <c r="AM96" s="45">
        <f t="shared" si="47"/>
        <v>0</v>
      </c>
      <c r="AN96" s="45">
        <f t="shared" si="48"/>
        <v>0</v>
      </c>
      <c r="AO96" s="45">
        <f t="shared" si="49"/>
        <v>0</v>
      </c>
      <c r="AP96" s="45">
        <f t="shared" si="50"/>
        <v>0</v>
      </c>
      <c r="AQ96" s="45">
        <f t="shared" si="51"/>
        <v>0</v>
      </c>
      <c r="AR96" s="45">
        <f t="shared" si="52"/>
        <v>0</v>
      </c>
      <c r="AS96" s="45">
        <f t="shared" si="53"/>
        <v>0</v>
      </c>
      <c r="AT96" s="45">
        <f t="shared" si="54"/>
        <v>0</v>
      </c>
    </row>
    <row r="97" spans="10:46" ht="12.75">
      <c r="J97" s="46"/>
      <c r="K97" s="46"/>
      <c r="L97" s="46"/>
      <c r="M97" s="46"/>
      <c r="N97" s="46"/>
      <c r="O97" s="46"/>
      <c r="P97" s="46"/>
      <c r="Q97" s="46"/>
      <c r="R97" s="46"/>
      <c r="S97" s="46"/>
      <c r="T97" s="46"/>
      <c r="U97" s="46"/>
      <c r="V97" s="46"/>
      <c r="W97" s="46"/>
      <c r="X97" s="46"/>
      <c r="Z97" s="53">
        <f t="shared" si="40"/>
        <v>0</v>
      </c>
      <c r="AB97" s="45">
        <f t="shared" si="41"/>
        <v>0</v>
      </c>
      <c r="AC97" s="45"/>
      <c r="AD97" s="45"/>
      <c r="AE97" s="45"/>
      <c r="AF97" s="45"/>
      <c r="AG97" s="45"/>
      <c r="AH97" s="45">
        <f t="shared" si="55"/>
        <v>0</v>
      </c>
      <c r="AI97" s="45">
        <f t="shared" si="56"/>
        <v>0</v>
      </c>
      <c r="AJ97" s="45">
        <f t="shared" si="44"/>
        <v>0</v>
      </c>
      <c r="AK97" s="45">
        <f t="shared" si="45"/>
        <v>0</v>
      </c>
      <c r="AL97" s="45">
        <f t="shared" si="46"/>
        <v>0</v>
      </c>
      <c r="AM97" s="45">
        <f t="shared" si="47"/>
        <v>0</v>
      </c>
      <c r="AN97" s="45">
        <f t="shared" si="48"/>
        <v>0</v>
      </c>
      <c r="AO97" s="45">
        <f t="shared" si="49"/>
        <v>0</v>
      </c>
      <c r="AP97" s="45">
        <f t="shared" si="50"/>
        <v>0</v>
      </c>
      <c r="AQ97" s="45">
        <f t="shared" si="51"/>
        <v>0</v>
      </c>
      <c r="AR97" s="45">
        <f t="shared" si="52"/>
        <v>0</v>
      </c>
      <c r="AS97" s="45">
        <f t="shared" si="53"/>
        <v>0</v>
      </c>
      <c r="AT97" s="45">
        <f t="shared" si="54"/>
        <v>0</v>
      </c>
    </row>
    <row r="98" spans="10:46" ht="12.75">
      <c r="J98" s="46"/>
      <c r="K98" s="46"/>
      <c r="L98" s="46"/>
      <c r="M98" s="46"/>
      <c r="N98" s="46"/>
      <c r="O98" s="46"/>
      <c r="P98" s="46"/>
      <c r="Q98" s="46"/>
      <c r="R98" s="46"/>
      <c r="S98" s="46"/>
      <c r="T98" s="46"/>
      <c r="U98" s="46"/>
      <c r="V98" s="46"/>
      <c r="W98" s="46"/>
      <c r="X98" s="46"/>
      <c r="Z98" s="53">
        <f t="shared" si="40"/>
        <v>0</v>
      </c>
      <c r="AB98" s="45">
        <f t="shared" si="41"/>
        <v>0</v>
      </c>
      <c r="AC98" s="45"/>
      <c r="AD98" s="45"/>
      <c r="AE98" s="45"/>
      <c r="AF98" s="45"/>
      <c r="AG98" s="45"/>
      <c r="AH98" s="45">
        <f t="shared" si="55"/>
        <v>0</v>
      </c>
      <c r="AI98" s="45">
        <f t="shared" si="56"/>
        <v>0</v>
      </c>
      <c r="AJ98" s="45">
        <f t="shared" si="44"/>
        <v>0</v>
      </c>
      <c r="AK98" s="45">
        <f t="shared" si="45"/>
        <v>0</v>
      </c>
      <c r="AL98" s="45">
        <f t="shared" si="46"/>
        <v>0</v>
      </c>
      <c r="AM98" s="45">
        <f t="shared" si="47"/>
        <v>0</v>
      </c>
      <c r="AN98" s="45">
        <f t="shared" si="48"/>
        <v>0</v>
      </c>
      <c r="AO98" s="45">
        <f t="shared" si="49"/>
        <v>0</v>
      </c>
      <c r="AP98" s="45">
        <f t="shared" si="50"/>
        <v>0</v>
      </c>
      <c r="AQ98" s="45">
        <f t="shared" si="51"/>
        <v>0</v>
      </c>
      <c r="AR98" s="45">
        <f t="shared" si="52"/>
        <v>0</v>
      </c>
      <c r="AS98" s="45">
        <f t="shared" si="53"/>
        <v>0</v>
      </c>
      <c r="AT98" s="45">
        <f t="shared" si="54"/>
        <v>0</v>
      </c>
    </row>
    <row r="99" spans="10:26" ht="12.75">
      <c r="J99" s="46"/>
      <c r="K99" s="46"/>
      <c r="L99" s="46"/>
      <c r="M99" s="46"/>
      <c r="N99" s="46"/>
      <c r="O99" s="46"/>
      <c r="P99" s="46"/>
      <c r="Q99" s="46"/>
      <c r="R99" s="46"/>
      <c r="S99" s="46"/>
      <c r="T99" s="46"/>
      <c r="U99" s="46"/>
      <c r="V99" s="46"/>
      <c r="W99" s="46"/>
      <c r="X99" s="46"/>
      <c r="Z99" s="53"/>
    </row>
    <row r="100" spans="10:26" ht="12.75">
      <c r="J100" s="46"/>
      <c r="K100" s="46"/>
      <c r="L100" s="46"/>
      <c r="M100" s="46"/>
      <c r="N100" s="46"/>
      <c r="O100" s="46"/>
      <c r="P100" s="46"/>
      <c r="Q100" s="46"/>
      <c r="R100" s="46"/>
      <c r="S100" s="46"/>
      <c r="T100" s="46"/>
      <c r="U100" s="46"/>
      <c r="V100" s="46"/>
      <c r="W100" s="46"/>
      <c r="X100" s="46"/>
      <c r="Z100" s="53"/>
    </row>
    <row r="101" spans="10:26" ht="12.75">
      <c r="J101" s="46"/>
      <c r="K101" s="46"/>
      <c r="L101" s="46"/>
      <c r="M101" s="46"/>
      <c r="N101" s="46"/>
      <c r="O101" s="46"/>
      <c r="P101" s="46"/>
      <c r="Q101" s="46"/>
      <c r="R101" s="46"/>
      <c r="S101" s="46"/>
      <c r="T101" s="46"/>
      <c r="U101" s="46"/>
      <c r="V101" s="46"/>
      <c r="W101" s="46"/>
      <c r="X101" s="46"/>
      <c r="Z101" s="53"/>
    </row>
    <row r="102" spans="10:26" ht="12.75">
      <c r="J102" s="53"/>
      <c r="K102" s="53"/>
      <c r="L102" s="53"/>
      <c r="M102" s="53"/>
      <c r="N102" s="53"/>
      <c r="O102" s="53"/>
      <c r="P102" s="53"/>
      <c r="Q102" s="53"/>
      <c r="R102" s="53"/>
      <c r="S102" s="53"/>
      <c r="T102" s="53"/>
      <c r="U102" s="53"/>
      <c r="V102" s="53"/>
      <c r="W102" s="53"/>
      <c r="X102" s="53"/>
      <c r="Z102" s="53"/>
    </row>
    <row r="103" spans="10:26" ht="12.75">
      <c r="J103" s="53"/>
      <c r="K103" s="53"/>
      <c r="L103" s="53"/>
      <c r="M103" s="53"/>
      <c r="N103" s="53"/>
      <c r="O103" s="53"/>
      <c r="P103" s="53"/>
      <c r="Q103" s="53"/>
      <c r="R103" s="53"/>
      <c r="S103" s="53"/>
      <c r="T103" s="53"/>
      <c r="U103" s="53"/>
      <c r="V103" s="53"/>
      <c r="W103" s="53"/>
      <c r="X103" s="53"/>
      <c r="Z103" s="53"/>
    </row>
    <row r="104" spans="10:26" ht="12.75">
      <c r="J104" s="53"/>
      <c r="K104" s="53"/>
      <c r="L104" s="53"/>
      <c r="M104" s="53"/>
      <c r="N104" s="53"/>
      <c r="O104" s="53"/>
      <c r="P104" s="53"/>
      <c r="Q104" s="53"/>
      <c r="R104" s="53"/>
      <c r="S104" s="53"/>
      <c r="T104" s="53"/>
      <c r="U104" s="53"/>
      <c r="V104" s="53"/>
      <c r="W104" s="53"/>
      <c r="X104" s="53"/>
      <c r="Z104" s="53"/>
    </row>
    <row r="105" spans="10:26" ht="12.75">
      <c r="J105" s="53"/>
      <c r="K105" s="53"/>
      <c r="L105" s="53"/>
      <c r="M105" s="53"/>
      <c r="N105" s="53"/>
      <c r="O105" s="53"/>
      <c r="P105" s="53"/>
      <c r="Q105" s="53"/>
      <c r="R105" s="53"/>
      <c r="S105" s="53"/>
      <c r="T105" s="53"/>
      <c r="U105" s="53"/>
      <c r="V105" s="53"/>
      <c r="W105" s="53"/>
      <c r="X105" s="53"/>
      <c r="Z105" s="53"/>
    </row>
    <row r="106" spans="10:26" ht="12.75">
      <c r="J106" s="53"/>
      <c r="K106" s="53"/>
      <c r="L106" s="53"/>
      <c r="M106" s="53"/>
      <c r="N106" s="53"/>
      <c r="O106" s="53"/>
      <c r="P106" s="53"/>
      <c r="Q106" s="53"/>
      <c r="R106" s="53"/>
      <c r="S106" s="53"/>
      <c r="T106" s="53"/>
      <c r="U106" s="53"/>
      <c r="V106" s="53"/>
      <c r="W106" s="53"/>
      <c r="X106" s="53"/>
      <c r="Z106" s="53"/>
    </row>
    <row r="107" spans="10:26" ht="12.75">
      <c r="J107" s="53"/>
      <c r="K107" s="53"/>
      <c r="L107" s="53"/>
      <c r="M107" s="53"/>
      <c r="N107" s="53"/>
      <c r="O107" s="53"/>
      <c r="P107" s="53"/>
      <c r="Q107" s="53"/>
      <c r="R107" s="53"/>
      <c r="S107" s="53"/>
      <c r="T107" s="53"/>
      <c r="U107" s="53"/>
      <c r="V107" s="53"/>
      <c r="W107" s="53"/>
      <c r="X107" s="53"/>
      <c r="Z107" s="53"/>
    </row>
    <row r="108" spans="10:26" ht="12.75">
      <c r="J108" s="53"/>
      <c r="K108" s="53"/>
      <c r="L108" s="53"/>
      <c r="M108" s="53"/>
      <c r="N108" s="53"/>
      <c r="O108" s="53"/>
      <c r="P108" s="53"/>
      <c r="Q108" s="53"/>
      <c r="R108" s="53"/>
      <c r="S108" s="53"/>
      <c r="T108" s="53"/>
      <c r="U108" s="53"/>
      <c r="V108" s="53"/>
      <c r="W108" s="53"/>
      <c r="X108" s="53"/>
      <c r="Z108" s="53"/>
    </row>
    <row r="109" spans="10:26" ht="12.75">
      <c r="J109" s="53"/>
      <c r="K109" s="53"/>
      <c r="L109" s="53"/>
      <c r="M109" s="53"/>
      <c r="N109" s="53"/>
      <c r="O109" s="53"/>
      <c r="P109" s="53"/>
      <c r="Q109" s="53"/>
      <c r="R109" s="53"/>
      <c r="S109" s="53"/>
      <c r="T109" s="53"/>
      <c r="U109" s="53"/>
      <c r="V109" s="53"/>
      <c r="W109" s="53"/>
      <c r="X109" s="53"/>
      <c r="Z109" s="53"/>
    </row>
    <row r="110" spans="10:26" ht="12.75">
      <c r="J110" s="53"/>
      <c r="K110" s="53"/>
      <c r="L110" s="53"/>
      <c r="M110" s="53"/>
      <c r="N110" s="53"/>
      <c r="O110" s="53"/>
      <c r="P110" s="53"/>
      <c r="Q110" s="53"/>
      <c r="R110" s="53"/>
      <c r="S110" s="53"/>
      <c r="T110" s="53"/>
      <c r="U110" s="53"/>
      <c r="V110" s="53"/>
      <c r="W110" s="53"/>
      <c r="X110" s="53"/>
      <c r="Z110" s="53"/>
    </row>
    <row r="111" spans="10:26" ht="12.75">
      <c r="J111" s="53"/>
      <c r="K111" s="53"/>
      <c r="L111" s="53"/>
      <c r="M111" s="53"/>
      <c r="N111" s="53"/>
      <c r="O111" s="53"/>
      <c r="P111" s="53"/>
      <c r="Q111" s="53"/>
      <c r="R111" s="53"/>
      <c r="S111" s="53"/>
      <c r="T111" s="53"/>
      <c r="U111" s="53"/>
      <c r="V111" s="53"/>
      <c r="W111" s="53"/>
      <c r="X111" s="53"/>
      <c r="Z111" s="53"/>
    </row>
    <row r="112" spans="10:26" ht="12.75">
      <c r="J112" s="53"/>
      <c r="K112" s="53"/>
      <c r="L112" s="53"/>
      <c r="M112" s="53"/>
      <c r="N112" s="53"/>
      <c r="O112" s="53"/>
      <c r="P112" s="53"/>
      <c r="Q112" s="53"/>
      <c r="R112" s="53"/>
      <c r="S112" s="53"/>
      <c r="T112" s="53"/>
      <c r="U112" s="53"/>
      <c r="V112" s="53"/>
      <c r="W112" s="53"/>
      <c r="X112" s="53"/>
      <c r="Z112" s="53"/>
    </row>
    <row r="113" spans="10:26" ht="12.75">
      <c r="J113" s="53"/>
      <c r="K113" s="53"/>
      <c r="L113" s="53"/>
      <c r="M113" s="53"/>
      <c r="N113" s="53"/>
      <c r="O113" s="53"/>
      <c r="P113" s="53"/>
      <c r="Q113" s="53"/>
      <c r="R113" s="53"/>
      <c r="S113" s="53"/>
      <c r="T113" s="53"/>
      <c r="U113" s="53"/>
      <c r="V113" s="53"/>
      <c r="W113" s="53"/>
      <c r="X113" s="53"/>
      <c r="Z113" s="53"/>
    </row>
    <row r="114" spans="10:26" ht="12.75">
      <c r="J114" s="53"/>
      <c r="K114" s="53"/>
      <c r="L114" s="53"/>
      <c r="M114" s="53"/>
      <c r="N114" s="53"/>
      <c r="O114" s="53"/>
      <c r="P114" s="53"/>
      <c r="Q114" s="53"/>
      <c r="R114" s="53"/>
      <c r="S114" s="53"/>
      <c r="T114" s="53"/>
      <c r="U114" s="53"/>
      <c r="V114" s="53"/>
      <c r="W114" s="53"/>
      <c r="X114" s="53"/>
      <c r="Z114" s="53"/>
    </row>
    <row r="115" spans="10:26" ht="12.75">
      <c r="J115" s="53"/>
      <c r="K115" s="53"/>
      <c r="L115" s="53"/>
      <c r="M115" s="53"/>
      <c r="N115" s="53"/>
      <c r="O115" s="53"/>
      <c r="P115" s="53"/>
      <c r="Q115" s="53"/>
      <c r="R115" s="53"/>
      <c r="S115" s="53"/>
      <c r="T115" s="53"/>
      <c r="U115" s="53"/>
      <c r="V115" s="53"/>
      <c r="W115" s="53"/>
      <c r="X115" s="53"/>
      <c r="Z115" s="53"/>
    </row>
    <row r="116" spans="10:26" ht="12.75">
      <c r="J116" s="53"/>
      <c r="K116" s="53"/>
      <c r="L116" s="53"/>
      <c r="M116" s="53"/>
      <c r="N116" s="53"/>
      <c r="O116" s="53"/>
      <c r="P116" s="53"/>
      <c r="Q116" s="53"/>
      <c r="R116" s="53"/>
      <c r="S116" s="53"/>
      <c r="T116" s="53"/>
      <c r="U116" s="53"/>
      <c r="V116" s="53"/>
      <c r="W116" s="53"/>
      <c r="X116" s="53"/>
      <c r="Z116" s="53"/>
    </row>
    <row r="117" spans="10:26" ht="12.75">
      <c r="J117" s="53"/>
      <c r="K117" s="53"/>
      <c r="L117" s="53"/>
      <c r="M117" s="53"/>
      <c r="N117" s="53"/>
      <c r="O117" s="53"/>
      <c r="P117" s="53"/>
      <c r="Q117" s="53"/>
      <c r="R117" s="53"/>
      <c r="S117" s="53"/>
      <c r="T117" s="53"/>
      <c r="U117" s="53"/>
      <c r="V117" s="53"/>
      <c r="W117" s="53"/>
      <c r="X117" s="53"/>
      <c r="Z117" s="53"/>
    </row>
    <row r="118" spans="10:26" ht="12.75">
      <c r="J118" s="53"/>
      <c r="K118" s="53"/>
      <c r="L118" s="53"/>
      <c r="M118" s="53"/>
      <c r="N118" s="53"/>
      <c r="O118" s="53"/>
      <c r="P118" s="53"/>
      <c r="Q118" s="53"/>
      <c r="R118" s="53"/>
      <c r="S118" s="53"/>
      <c r="T118" s="53"/>
      <c r="U118" s="53"/>
      <c r="V118" s="53"/>
      <c r="W118" s="53"/>
      <c r="X118" s="53"/>
      <c r="Z118" s="53"/>
    </row>
    <row r="119" spans="10:26" ht="12.75">
      <c r="J119" s="53"/>
      <c r="K119" s="53"/>
      <c r="L119" s="53"/>
      <c r="M119" s="53"/>
      <c r="N119" s="53"/>
      <c r="O119" s="53"/>
      <c r="P119" s="53"/>
      <c r="Q119" s="53"/>
      <c r="R119" s="53"/>
      <c r="S119" s="53"/>
      <c r="T119" s="53"/>
      <c r="U119" s="53"/>
      <c r="V119" s="53"/>
      <c r="W119" s="53"/>
      <c r="X119" s="53"/>
      <c r="Z119" s="53"/>
    </row>
    <row r="120" spans="10:26" ht="12.75">
      <c r="J120" s="53"/>
      <c r="K120" s="53"/>
      <c r="L120" s="53"/>
      <c r="M120" s="53"/>
      <c r="N120" s="53"/>
      <c r="O120" s="53"/>
      <c r="P120" s="53"/>
      <c r="Q120" s="53"/>
      <c r="R120" s="53"/>
      <c r="S120" s="53"/>
      <c r="T120" s="53"/>
      <c r="U120" s="53"/>
      <c r="V120" s="53"/>
      <c r="W120" s="53"/>
      <c r="X120" s="53"/>
      <c r="Z120" s="53"/>
    </row>
    <row r="121" spans="10:26" ht="12.75">
      <c r="J121" s="53"/>
      <c r="K121" s="53"/>
      <c r="L121" s="53"/>
      <c r="M121" s="53"/>
      <c r="N121" s="53"/>
      <c r="O121" s="53"/>
      <c r="P121" s="53"/>
      <c r="Q121" s="53"/>
      <c r="R121" s="53"/>
      <c r="S121" s="53"/>
      <c r="T121" s="53"/>
      <c r="U121" s="53"/>
      <c r="V121" s="53"/>
      <c r="W121" s="53"/>
      <c r="X121" s="53"/>
      <c r="Z121" s="53"/>
    </row>
    <row r="122" spans="10:26" ht="12.75">
      <c r="J122" s="53"/>
      <c r="K122" s="53"/>
      <c r="L122" s="53"/>
      <c r="M122" s="53"/>
      <c r="N122" s="53"/>
      <c r="O122" s="53"/>
      <c r="P122" s="53"/>
      <c r="Q122" s="53"/>
      <c r="R122" s="53"/>
      <c r="S122" s="53"/>
      <c r="T122" s="53"/>
      <c r="U122" s="53"/>
      <c r="V122" s="53"/>
      <c r="W122" s="53"/>
      <c r="X122" s="53"/>
      <c r="Z122" s="53"/>
    </row>
    <row r="123" spans="10:26" ht="12.75">
      <c r="J123" s="53"/>
      <c r="K123" s="53"/>
      <c r="L123" s="53"/>
      <c r="M123" s="53"/>
      <c r="N123" s="53"/>
      <c r="O123" s="53"/>
      <c r="P123" s="53"/>
      <c r="Q123" s="53"/>
      <c r="R123" s="53"/>
      <c r="S123" s="53"/>
      <c r="T123" s="53"/>
      <c r="U123" s="53"/>
      <c r="V123" s="53"/>
      <c r="W123" s="53"/>
      <c r="X123" s="53"/>
      <c r="Z123" s="53"/>
    </row>
    <row r="124" spans="10:26" ht="12.75">
      <c r="J124" s="53"/>
      <c r="K124" s="53"/>
      <c r="L124" s="53"/>
      <c r="M124" s="53"/>
      <c r="N124" s="53"/>
      <c r="O124" s="53"/>
      <c r="P124" s="53"/>
      <c r="Q124" s="53"/>
      <c r="R124" s="53"/>
      <c r="S124" s="53"/>
      <c r="T124" s="53"/>
      <c r="U124" s="53"/>
      <c r="V124" s="53"/>
      <c r="W124" s="53"/>
      <c r="X124" s="53"/>
      <c r="Z124" s="53"/>
    </row>
    <row r="125" spans="10:26" ht="12.75">
      <c r="J125" s="53"/>
      <c r="K125" s="53"/>
      <c r="L125" s="53"/>
      <c r="M125" s="53"/>
      <c r="N125" s="53"/>
      <c r="O125" s="53"/>
      <c r="P125" s="53"/>
      <c r="Q125" s="53"/>
      <c r="R125" s="53"/>
      <c r="S125" s="53"/>
      <c r="T125" s="53"/>
      <c r="U125" s="53"/>
      <c r="V125" s="53"/>
      <c r="W125" s="53"/>
      <c r="X125" s="53"/>
      <c r="Z125" s="53"/>
    </row>
    <row r="126" spans="10:26" ht="12.75">
      <c r="J126" s="53"/>
      <c r="K126" s="53"/>
      <c r="L126" s="53"/>
      <c r="M126" s="53"/>
      <c r="N126" s="53"/>
      <c r="O126" s="53"/>
      <c r="P126" s="53"/>
      <c r="Q126" s="53"/>
      <c r="R126" s="53"/>
      <c r="S126" s="53"/>
      <c r="T126" s="53"/>
      <c r="U126" s="53"/>
      <c r="V126" s="53"/>
      <c r="W126" s="53"/>
      <c r="X126" s="53"/>
      <c r="Z126" s="53"/>
    </row>
    <row r="127" spans="10:26" ht="12.75">
      <c r="J127" s="53"/>
      <c r="K127" s="53"/>
      <c r="L127" s="53"/>
      <c r="M127" s="53"/>
      <c r="N127" s="53"/>
      <c r="O127" s="53"/>
      <c r="P127" s="53"/>
      <c r="Q127" s="53"/>
      <c r="R127" s="53"/>
      <c r="S127" s="53"/>
      <c r="T127" s="53"/>
      <c r="U127" s="53"/>
      <c r="V127" s="53"/>
      <c r="W127" s="53"/>
      <c r="X127" s="53"/>
      <c r="Z127" s="53"/>
    </row>
    <row r="128" spans="10:26" ht="12.75">
      <c r="J128" s="53"/>
      <c r="K128" s="53"/>
      <c r="L128" s="53"/>
      <c r="M128" s="53"/>
      <c r="N128" s="53"/>
      <c r="O128" s="53"/>
      <c r="P128" s="53"/>
      <c r="Q128" s="53"/>
      <c r="R128" s="53"/>
      <c r="S128" s="53"/>
      <c r="T128" s="53"/>
      <c r="U128" s="53"/>
      <c r="V128" s="53"/>
      <c r="W128" s="53"/>
      <c r="X128" s="53"/>
      <c r="Z128" s="53"/>
    </row>
    <row r="129" spans="10:26" ht="12.75">
      <c r="J129" s="53"/>
      <c r="K129" s="53"/>
      <c r="L129" s="53"/>
      <c r="M129" s="53"/>
      <c r="N129" s="53"/>
      <c r="O129" s="53"/>
      <c r="P129" s="53"/>
      <c r="Q129" s="53"/>
      <c r="R129" s="53"/>
      <c r="S129" s="53"/>
      <c r="T129" s="53"/>
      <c r="U129" s="53"/>
      <c r="V129" s="53"/>
      <c r="W129" s="53"/>
      <c r="X129" s="53"/>
      <c r="Z129" s="53"/>
    </row>
    <row r="130" spans="10:26" ht="12.75">
      <c r="J130" s="53"/>
      <c r="K130" s="53"/>
      <c r="L130" s="53"/>
      <c r="M130" s="53"/>
      <c r="N130" s="53"/>
      <c r="O130" s="53"/>
      <c r="P130" s="53"/>
      <c r="Q130" s="53"/>
      <c r="R130" s="53"/>
      <c r="S130" s="53"/>
      <c r="T130" s="53"/>
      <c r="U130" s="53"/>
      <c r="V130" s="53"/>
      <c r="W130" s="53"/>
      <c r="X130" s="53"/>
      <c r="Z130" s="53"/>
    </row>
    <row r="131" spans="10:26" ht="12.75">
      <c r="J131" s="53"/>
      <c r="K131" s="53"/>
      <c r="L131" s="53"/>
      <c r="M131" s="53"/>
      <c r="N131" s="53"/>
      <c r="O131" s="53"/>
      <c r="P131" s="53"/>
      <c r="Q131" s="53"/>
      <c r="R131" s="53"/>
      <c r="S131" s="53"/>
      <c r="T131" s="53"/>
      <c r="U131" s="53"/>
      <c r="V131" s="53"/>
      <c r="W131" s="53"/>
      <c r="X131" s="53"/>
      <c r="Z131" s="53"/>
    </row>
    <row r="132" spans="10:26" ht="12.75">
      <c r="J132" s="53"/>
      <c r="K132" s="53"/>
      <c r="L132" s="53"/>
      <c r="M132" s="53"/>
      <c r="N132" s="53"/>
      <c r="O132" s="53"/>
      <c r="P132" s="53"/>
      <c r="Q132" s="53"/>
      <c r="R132" s="53"/>
      <c r="S132" s="53"/>
      <c r="T132" s="53"/>
      <c r="U132" s="53"/>
      <c r="V132" s="53"/>
      <c r="W132" s="53"/>
      <c r="X132" s="53"/>
      <c r="Z132" s="53"/>
    </row>
    <row r="133" spans="10:26" ht="12.75">
      <c r="J133" s="53"/>
      <c r="K133" s="53"/>
      <c r="L133" s="53"/>
      <c r="M133" s="53"/>
      <c r="N133" s="53"/>
      <c r="O133" s="53"/>
      <c r="P133" s="53"/>
      <c r="Q133" s="53"/>
      <c r="R133" s="53"/>
      <c r="S133" s="53"/>
      <c r="T133" s="53"/>
      <c r="U133" s="53"/>
      <c r="V133" s="53"/>
      <c r="W133" s="53"/>
      <c r="X133" s="53"/>
      <c r="Z133" s="53"/>
    </row>
    <row r="134" spans="10:26" ht="12.75">
      <c r="J134" s="53"/>
      <c r="K134" s="53"/>
      <c r="L134" s="53"/>
      <c r="M134" s="53"/>
      <c r="N134" s="53"/>
      <c r="O134" s="53"/>
      <c r="P134" s="53"/>
      <c r="Q134" s="53"/>
      <c r="R134" s="53"/>
      <c r="S134" s="53"/>
      <c r="T134" s="53"/>
      <c r="U134" s="53"/>
      <c r="V134" s="53"/>
      <c r="W134" s="53"/>
      <c r="X134" s="53"/>
      <c r="Z134" s="53"/>
    </row>
    <row r="135" spans="10:26" ht="12.75">
      <c r="J135" s="53"/>
      <c r="K135" s="53"/>
      <c r="L135" s="53"/>
      <c r="M135" s="53"/>
      <c r="N135" s="53"/>
      <c r="O135" s="53"/>
      <c r="P135" s="53"/>
      <c r="Q135" s="53"/>
      <c r="R135" s="53"/>
      <c r="S135" s="53"/>
      <c r="T135" s="53"/>
      <c r="U135" s="53"/>
      <c r="V135" s="53"/>
      <c r="W135" s="53"/>
      <c r="X135" s="53"/>
      <c r="Z135" s="53"/>
    </row>
    <row r="136" spans="10:26" ht="12.75">
      <c r="J136" s="53"/>
      <c r="K136" s="53"/>
      <c r="L136" s="53"/>
      <c r="M136" s="53"/>
      <c r="N136" s="53"/>
      <c r="O136" s="53"/>
      <c r="P136" s="53"/>
      <c r="Q136" s="53"/>
      <c r="R136" s="53"/>
      <c r="S136" s="53"/>
      <c r="T136" s="53"/>
      <c r="U136" s="53"/>
      <c r="V136" s="53"/>
      <c r="W136" s="53"/>
      <c r="X136" s="53"/>
      <c r="Z136" s="53"/>
    </row>
    <row r="137" spans="10:26" ht="12.75">
      <c r="J137" s="53"/>
      <c r="K137" s="53"/>
      <c r="L137" s="53"/>
      <c r="M137" s="53"/>
      <c r="N137" s="53"/>
      <c r="O137" s="53"/>
      <c r="P137" s="53"/>
      <c r="Q137" s="53"/>
      <c r="R137" s="53"/>
      <c r="S137" s="53"/>
      <c r="T137" s="53"/>
      <c r="U137" s="53"/>
      <c r="V137" s="53"/>
      <c r="W137" s="53"/>
      <c r="X137" s="53"/>
      <c r="Z137" s="53"/>
    </row>
    <row r="138" spans="10:26" ht="12.75">
      <c r="J138" s="53"/>
      <c r="K138" s="53"/>
      <c r="L138" s="53"/>
      <c r="M138" s="53"/>
      <c r="N138" s="53"/>
      <c r="O138" s="53"/>
      <c r="P138" s="53"/>
      <c r="Q138" s="53"/>
      <c r="R138" s="53"/>
      <c r="S138" s="53"/>
      <c r="T138" s="53"/>
      <c r="U138" s="53"/>
      <c r="V138" s="53"/>
      <c r="W138" s="53"/>
      <c r="X138" s="53"/>
      <c r="Z138" s="53"/>
    </row>
    <row r="139" spans="10:26" ht="12.75">
      <c r="J139" s="53"/>
      <c r="K139" s="53"/>
      <c r="L139" s="53"/>
      <c r="M139" s="53"/>
      <c r="N139" s="53"/>
      <c r="O139" s="53"/>
      <c r="P139" s="53"/>
      <c r="Q139" s="53"/>
      <c r="R139" s="53"/>
      <c r="S139" s="53"/>
      <c r="T139" s="53"/>
      <c r="U139" s="53"/>
      <c r="V139" s="53"/>
      <c r="W139" s="53"/>
      <c r="X139" s="53"/>
      <c r="Z139" s="53"/>
    </row>
    <row r="140" ht="12.75">
      <c r="Z140" s="53"/>
    </row>
    <row r="141" ht="12.75">
      <c r="Z141" s="53"/>
    </row>
    <row r="142" ht="12.75">
      <c r="Z142" s="53"/>
    </row>
    <row r="143" ht="12.75">
      <c r="Z143" s="53"/>
    </row>
    <row r="144" ht="12.75">
      <c r="Z144" s="53"/>
    </row>
    <row r="145" ht="12.75">
      <c r="Z145" s="53"/>
    </row>
    <row r="146" ht="12.75">
      <c r="Z146" s="53"/>
    </row>
    <row r="147" ht="12.75">
      <c r="Z147" s="53"/>
    </row>
  </sheetData>
  <sheetProtection/>
  <mergeCells count="5">
    <mergeCell ref="M8:Q8"/>
    <mergeCell ref="J7:X7"/>
    <mergeCell ref="K8:L8"/>
    <mergeCell ref="AH8:AI8"/>
    <mergeCell ref="AJ8:AM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L221"/>
  <sheetViews>
    <sheetView zoomScalePageLayoutView="0" workbookViewId="0" topLeftCell="A196">
      <selection activeCell="D209" sqref="D209"/>
    </sheetView>
  </sheetViews>
  <sheetFormatPr defaultColWidth="9.140625" defaultRowHeight="12.75"/>
  <cols>
    <col min="1" max="1" width="11.421875" style="0" bestFit="1" customWidth="1"/>
    <col min="2" max="2" width="39.421875" style="0" customWidth="1"/>
    <col min="4" max="4" width="11.421875" style="0" customWidth="1"/>
    <col min="5" max="5" width="11.28125" style="0" customWidth="1"/>
  </cols>
  <sheetData>
    <row r="1" ht="15.75">
      <c r="A1" s="114" t="s">
        <v>556</v>
      </c>
    </row>
    <row r="2" ht="15">
      <c r="B2" s="115" t="s">
        <v>610</v>
      </c>
    </row>
    <row r="3" ht="13.5" customHeight="1">
      <c r="B3" s="115" t="s">
        <v>1033</v>
      </c>
    </row>
    <row r="5" ht="15">
      <c r="B5" s="116" t="s">
        <v>558</v>
      </c>
    </row>
    <row r="6" spans="2:18" ht="15">
      <c r="B6" s="116" t="s">
        <v>559</v>
      </c>
      <c r="C6" s="21">
        <v>1</v>
      </c>
      <c r="D6" s="21">
        <v>24</v>
      </c>
      <c r="E6" s="21">
        <v>48</v>
      </c>
      <c r="F6" s="21">
        <v>72</v>
      </c>
      <c r="G6" s="21">
        <v>96</v>
      </c>
      <c r="H6" s="21">
        <v>120</v>
      </c>
      <c r="I6" s="21">
        <v>144</v>
      </c>
      <c r="J6" s="21">
        <v>168</v>
      </c>
      <c r="K6" s="21">
        <v>192</v>
      </c>
      <c r="L6" s="21">
        <v>216</v>
      </c>
      <c r="M6" s="21">
        <v>240</v>
      </c>
      <c r="N6" s="21">
        <v>264</v>
      </c>
      <c r="O6" s="21">
        <v>288</v>
      </c>
      <c r="P6" s="21">
        <v>312</v>
      </c>
      <c r="Q6" s="21">
        <v>336</v>
      </c>
      <c r="R6" s="21">
        <v>360</v>
      </c>
    </row>
    <row r="7" spans="2:11" ht="15">
      <c r="B7" s="116" t="s">
        <v>589</v>
      </c>
      <c r="C7" s="37"/>
      <c r="D7" s="37"/>
      <c r="E7" s="37"/>
      <c r="F7" s="37"/>
      <c r="G7" s="37"/>
      <c r="H7" s="37"/>
      <c r="I7" s="37" t="s">
        <v>591</v>
      </c>
      <c r="J7" s="37" t="s">
        <v>591</v>
      </c>
      <c r="K7" s="37" t="s">
        <v>591</v>
      </c>
    </row>
    <row r="8" spans="2:18" ht="15">
      <c r="B8" s="116" t="s">
        <v>594</v>
      </c>
      <c r="D8" s="37"/>
      <c r="E8" s="37"/>
      <c r="F8" s="37"/>
      <c r="G8" s="37"/>
      <c r="H8" s="37"/>
      <c r="I8" s="37"/>
      <c r="J8" s="37"/>
      <c r="K8" s="37"/>
      <c r="L8" s="37"/>
      <c r="N8" s="37"/>
      <c r="O8" s="37" t="s">
        <v>591</v>
      </c>
      <c r="P8" s="37" t="s">
        <v>591</v>
      </c>
      <c r="Q8" s="37" t="s">
        <v>591</v>
      </c>
      <c r="R8" s="37"/>
    </row>
    <row r="9" spans="2:7" ht="15">
      <c r="B9" s="115" t="s">
        <v>563</v>
      </c>
      <c r="C9">
        <v>100</v>
      </c>
      <c r="D9">
        <v>0</v>
      </c>
      <c r="E9">
        <v>0</v>
      </c>
      <c r="F9">
        <v>0</v>
      </c>
      <c r="G9">
        <v>0</v>
      </c>
    </row>
    <row r="10" spans="2:4" ht="15">
      <c r="B10" s="115" t="s">
        <v>565</v>
      </c>
      <c r="D10">
        <v>100</v>
      </c>
    </row>
    <row r="11" spans="2:4" ht="15">
      <c r="B11" s="115" t="s">
        <v>564</v>
      </c>
      <c r="D11">
        <f>ROUND(D10/2*3.25,0)</f>
        <v>163</v>
      </c>
    </row>
    <row r="12" spans="2:5" ht="15">
      <c r="B12" s="115" t="s">
        <v>560</v>
      </c>
      <c r="E12">
        <f>D11</f>
        <v>163</v>
      </c>
    </row>
    <row r="13" spans="2:5" ht="15">
      <c r="B13" s="115" t="s">
        <v>566</v>
      </c>
      <c r="E13">
        <f>ROUND(E12/2*3.25,0)</f>
        <v>265</v>
      </c>
    </row>
    <row r="14" spans="2:6" ht="15">
      <c r="B14" s="115" t="s">
        <v>561</v>
      </c>
      <c r="F14">
        <f>E13</f>
        <v>265</v>
      </c>
    </row>
    <row r="15" spans="2:6" ht="15">
      <c r="B15" s="115" t="s">
        <v>567</v>
      </c>
      <c r="F15">
        <f>ROUND(F14/2*3.25,0)</f>
        <v>431</v>
      </c>
    </row>
    <row r="16" spans="2:7" ht="15">
      <c r="B16" s="115" t="s">
        <v>562</v>
      </c>
      <c r="G16">
        <f>F15</f>
        <v>431</v>
      </c>
    </row>
    <row r="17" spans="2:7" ht="15">
      <c r="B17" s="115" t="s">
        <v>568</v>
      </c>
      <c r="G17">
        <f>ROUND(G16/2*3.25,0)</f>
        <v>700</v>
      </c>
    </row>
    <row r="18" spans="2:8" ht="15">
      <c r="B18" s="115" t="s">
        <v>570</v>
      </c>
      <c r="H18">
        <f>G17</f>
        <v>700</v>
      </c>
    </row>
    <row r="19" spans="2:8" ht="15">
      <c r="B19" s="115" t="s">
        <v>571</v>
      </c>
      <c r="H19">
        <f>ROUND(H18/2*3.25,0)</f>
        <v>1138</v>
      </c>
    </row>
    <row r="20" spans="2:9" ht="15">
      <c r="B20" s="115" t="s">
        <v>572</v>
      </c>
      <c r="I20">
        <f>H19</f>
        <v>1138</v>
      </c>
    </row>
    <row r="21" spans="2:9" ht="15">
      <c r="B21" s="115" t="s">
        <v>573</v>
      </c>
      <c r="I21">
        <f>ROUND(I20/2*3.25,0)</f>
        <v>1849</v>
      </c>
    </row>
    <row r="22" spans="2:10" ht="15">
      <c r="B22" s="115" t="s">
        <v>574</v>
      </c>
      <c r="J22">
        <f>I21</f>
        <v>1849</v>
      </c>
    </row>
    <row r="23" spans="2:10" ht="15">
      <c r="B23" s="115" t="s">
        <v>575</v>
      </c>
      <c r="J23">
        <f>ROUND(J22/2*3.25,0)</f>
        <v>3005</v>
      </c>
    </row>
    <row r="24" spans="2:11" ht="15">
      <c r="B24" s="115" t="s">
        <v>580</v>
      </c>
      <c r="K24">
        <f>J23</f>
        <v>3005</v>
      </c>
    </row>
    <row r="25" spans="2:11" ht="15">
      <c r="B25" s="115" t="s">
        <v>581</v>
      </c>
      <c r="K25">
        <f>ROUND(K24/2*3.25,0)</f>
        <v>4883</v>
      </c>
    </row>
    <row r="26" spans="2:64" ht="15">
      <c r="B26" s="115" t="s">
        <v>582</v>
      </c>
      <c r="L26">
        <f>K25</f>
        <v>4883</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2:64" ht="15">
      <c r="B27" s="115" t="s">
        <v>583</v>
      </c>
      <c r="L27">
        <f>ROUND(L26/2*3.25,0)</f>
        <v>7935</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row>
    <row r="28" spans="2:64" ht="15">
      <c r="B28" s="115" t="s">
        <v>596</v>
      </c>
      <c r="M28">
        <f>L27</f>
        <v>7935</v>
      </c>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row>
    <row r="29" spans="2:64" ht="15">
      <c r="B29" s="115" t="s">
        <v>597</v>
      </c>
      <c r="M29">
        <f>ROUND(M28/2*3.25,0)</f>
        <v>12894</v>
      </c>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2:64" ht="15">
      <c r="B30" s="115" t="s">
        <v>598</v>
      </c>
      <c r="N30">
        <f>M29</f>
        <v>12894</v>
      </c>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row>
    <row r="31" spans="2:64" ht="15">
      <c r="B31" s="115" t="s">
        <v>599</v>
      </c>
      <c r="M31" s="113"/>
      <c r="N31">
        <f>ROUND(N30/2*3.25,0)</f>
        <v>20953</v>
      </c>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row>
    <row r="32" spans="2:64" ht="15">
      <c r="B32" s="115" t="s">
        <v>600</v>
      </c>
      <c r="M32" s="113"/>
      <c r="O32">
        <f>N31</f>
        <v>20953</v>
      </c>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row>
    <row r="33" spans="2:64" ht="15">
      <c r="B33" s="115" t="s">
        <v>601</v>
      </c>
      <c r="M33" s="113"/>
      <c r="N33" s="113"/>
      <c r="O33">
        <f>ROUND(O32/2*3.25,0)</f>
        <v>34049</v>
      </c>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row>
    <row r="34" spans="2:64" ht="15">
      <c r="B34" s="115" t="s">
        <v>602</v>
      </c>
      <c r="M34" s="113"/>
      <c r="N34" s="113"/>
      <c r="P34">
        <f>O33</f>
        <v>34049</v>
      </c>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row>
    <row r="35" spans="2:64" ht="15">
      <c r="B35" s="115" t="s">
        <v>603</v>
      </c>
      <c r="M35" s="113"/>
      <c r="N35" s="113"/>
      <c r="O35" s="113"/>
      <c r="P35">
        <f>ROUND(P34/2*3.25,0)</f>
        <v>55330</v>
      </c>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2:64" ht="15">
      <c r="B36" s="115" t="s">
        <v>604</v>
      </c>
      <c r="M36" s="113"/>
      <c r="N36" s="113"/>
      <c r="O36" s="113"/>
      <c r="Q36">
        <f>P35</f>
        <v>55330</v>
      </c>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row>
    <row r="37" spans="2:64" ht="15">
      <c r="B37" s="115" t="s">
        <v>605</v>
      </c>
      <c r="M37" s="113"/>
      <c r="N37" s="113"/>
      <c r="O37" s="113"/>
      <c r="P37" s="113"/>
      <c r="Q37">
        <f>ROUND(Q36/2*3.25,0)</f>
        <v>89911</v>
      </c>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spans="2:64" ht="15">
      <c r="B38" s="115" t="s">
        <v>606</v>
      </c>
      <c r="M38" s="113"/>
      <c r="N38" s="113"/>
      <c r="O38" s="113"/>
      <c r="P38" s="113"/>
      <c r="R38">
        <f>Q37</f>
        <v>89911</v>
      </c>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row>
    <row r="39" spans="2:64" ht="15">
      <c r="B39" s="115" t="s">
        <v>607</v>
      </c>
      <c r="M39" s="113"/>
      <c r="N39" s="113"/>
      <c r="O39" s="113"/>
      <c r="P39" s="113"/>
      <c r="Q39" s="113"/>
      <c r="R39">
        <f>ROUND(R38/2*3.25,0)</f>
        <v>146105</v>
      </c>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row>
    <row r="40" spans="2:64" ht="15">
      <c r="B40" s="115"/>
      <c r="M40" s="113"/>
      <c r="N40" s="113"/>
      <c r="O40" s="113"/>
      <c r="P40" s="113"/>
      <c r="Q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row>
    <row r="41" spans="2:64" ht="15">
      <c r="B41" s="116" t="s">
        <v>569</v>
      </c>
      <c r="F41" s="116" t="s">
        <v>595</v>
      </c>
      <c r="J41" s="21" t="s">
        <v>1034</v>
      </c>
      <c r="M41" s="113"/>
      <c r="N41" s="113"/>
      <c r="O41" s="113"/>
      <c r="P41" s="113"/>
      <c r="Q41" s="113"/>
      <c r="R41" s="113"/>
      <c r="S41" s="113"/>
      <c r="T41" s="435" t="s">
        <v>412</v>
      </c>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row>
    <row r="42" spans="2:64" ht="15">
      <c r="B42" s="115" t="s">
        <v>611</v>
      </c>
      <c r="C42">
        <f>I21/2</f>
        <v>924.5</v>
      </c>
      <c r="D42" s="46">
        <f>C42/SUM(C$42:C$44)</f>
        <v>0.09494710896580055</v>
      </c>
      <c r="F42" s="115" t="s">
        <v>405</v>
      </c>
      <c r="G42">
        <f>O33*2/3</f>
        <v>22699.333333333332</v>
      </c>
      <c r="H42" s="46">
        <f>G42/SUM(G$42:G$44)</f>
        <v>0.1266068008998457</v>
      </c>
      <c r="J42" s="37" t="s">
        <v>1035</v>
      </c>
      <c r="M42" s="113">
        <f>3.25/2</f>
        <v>1.625</v>
      </c>
      <c r="N42" s="113"/>
      <c r="O42" s="113" t="s">
        <v>1038</v>
      </c>
      <c r="P42" s="113"/>
      <c r="Q42" s="113"/>
      <c r="R42" s="434">
        <f>100*(1+M44)^200</f>
        <v>5490.030438109045</v>
      </c>
      <c r="S42" s="113"/>
      <c r="T42" s="46">
        <f>R42/C45</f>
        <v>0.5638318206951879</v>
      </c>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row>
    <row r="43" spans="2:64" ht="15">
      <c r="B43" s="115" t="s">
        <v>621</v>
      </c>
      <c r="C43">
        <f>I21/2+J23+K25*0.25</f>
        <v>5150.25</v>
      </c>
      <c r="D43" s="46">
        <f>C43/SUM(C$42:C$44)</f>
        <v>0.5289360172537743</v>
      </c>
      <c r="F43" s="115" t="s">
        <v>576</v>
      </c>
      <c r="G43">
        <f>O33*1/3+P35+Q37/2</f>
        <v>111635.16666666667</v>
      </c>
      <c r="H43" s="46">
        <f>G43/SUM(G$42:G$44)</f>
        <v>0.6226513841634596</v>
      </c>
      <c r="J43" s="37" t="s">
        <v>1036</v>
      </c>
      <c r="M43" s="113">
        <v>24</v>
      </c>
      <c r="N43" s="113"/>
      <c r="O43" s="113" t="s">
        <v>1039</v>
      </c>
      <c r="P43" s="113"/>
      <c r="Q43" s="113"/>
      <c r="R43" s="434">
        <f>100*(1+M44)^360</f>
        <v>135280.29889117114</v>
      </c>
      <c r="S43" s="113"/>
      <c r="T43" s="46">
        <f>R43/G45</f>
        <v>0.7545334312631554</v>
      </c>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row>
    <row r="44" spans="2:64" ht="15">
      <c r="B44" s="115" t="s">
        <v>608</v>
      </c>
      <c r="C44">
        <f>K25*0.75</f>
        <v>3662.25</v>
      </c>
      <c r="D44" s="46">
        <f>C44/SUM(C$42:C$44)</f>
        <v>0.3761168737804252</v>
      </c>
      <c r="F44" s="115" t="s">
        <v>577</v>
      </c>
      <c r="G44">
        <f>Q37/2</f>
        <v>44955.5</v>
      </c>
      <c r="H44" s="46">
        <f>G44/SUM(G$42:G$44)</f>
        <v>0.25074181493669473</v>
      </c>
      <c r="J44" s="37" t="s">
        <v>1037</v>
      </c>
      <c r="M44" s="113">
        <f>LN(M42)/M43</f>
        <v>0.020229492324237534</v>
      </c>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row>
    <row r="45" spans="2:64" ht="15">
      <c r="B45" s="117" t="s">
        <v>256</v>
      </c>
      <c r="C45">
        <f>SUM(C42:C44)</f>
        <v>9737</v>
      </c>
      <c r="F45" s="115" t="s">
        <v>256</v>
      </c>
      <c r="G45">
        <f>G42+G43+G44</f>
        <v>179290</v>
      </c>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row>
    <row r="46" spans="2:64" ht="1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row>
    <row r="47" spans="2:64" ht="1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row>
    <row r="48" spans="1:64" ht="15">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row>
    <row r="49" ht="15.75">
      <c r="A49" s="114" t="s">
        <v>579</v>
      </c>
    </row>
    <row r="50" ht="15">
      <c r="B50" s="115" t="s">
        <v>1017</v>
      </c>
    </row>
    <row r="51" ht="15">
      <c r="B51" s="115" t="s">
        <v>1032</v>
      </c>
    </row>
    <row r="53" spans="2:28" ht="15">
      <c r="B53" s="116" t="s">
        <v>558</v>
      </c>
      <c r="Z53" s="21"/>
      <c r="AA53" s="21"/>
      <c r="AB53" s="21"/>
    </row>
    <row r="54" spans="2:12" ht="15">
      <c r="B54" s="116" t="s">
        <v>559</v>
      </c>
      <c r="C54" s="21">
        <v>1</v>
      </c>
      <c r="D54" s="21">
        <v>40</v>
      </c>
      <c r="E54" s="21">
        <v>80</v>
      </c>
      <c r="F54" s="21">
        <v>120</v>
      </c>
      <c r="G54" s="21">
        <v>160</v>
      </c>
      <c r="H54" s="21">
        <v>200</v>
      </c>
      <c r="I54" s="21">
        <v>240</v>
      </c>
      <c r="J54" s="21">
        <v>280</v>
      </c>
      <c r="K54" s="21">
        <v>320</v>
      </c>
      <c r="L54" s="21">
        <v>360</v>
      </c>
    </row>
    <row r="55" spans="2:8" ht="15">
      <c r="B55" s="116" t="s">
        <v>589</v>
      </c>
      <c r="C55" s="37" t="s">
        <v>1018</v>
      </c>
      <c r="D55" s="37" t="s">
        <v>591</v>
      </c>
      <c r="E55" s="37" t="s">
        <v>591</v>
      </c>
      <c r="F55" s="37" t="s">
        <v>591</v>
      </c>
      <c r="G55" s="37" t="s">
        <v>591</v>
      </c>
      <c r="H55" s="37" t="s">
        <v>588</v>
      </c>
    </row>
    <row r="56" spans="2:12" ht="15">
      <c r="B56" s="116" t="s">
        <v>593</v>
      </c>
      <c r="C56" s="37" t="s">
        <v>591</v>
      </c>
      <c r="D56" s="37" t="s">
        <v>591</v>
      </c>
      <c r="E56" s="37" t="s">
        <v>591</v>
      </c>
      <c r="F56" s="37" t="s">
        <v>591</v>
      </c>
      <c r="G56" s="37" t="s">
        <v>591</v>
      </c>
      <c r="H56" s="37" t="s">
        <v>591</v>
      </c>
      <c r="I56" s="37" t="s">
        <v>591</v>
      </c>
      <c r="J56" s="37" t="s">
        <v>591</v>
      </c>
      <c r="K56" s="37" t="s">
        <v>591</v>
      </c>
      <c r="L56" s="37" t="s">
        <v>588</v>
      </c>
    </row>
    <row r="57" spans="2:7" ht="15">
      <c r="B57" s="115" t="s">
        <v>563</v>
      </c>
      <c r="C57">
        <v>100</v>
      </c>
      <c r="D57">
        <v>0</v>
      </c>
      <c r="E57">
        <v>0</v>
      </c>
      <c r="F57">
        <v>0</v>
      </c>
      <c r="G57">
        <v>0</v>
      </c>
    </row>
    <row r="58" spans="2:4" ht="15">
      <c r="B58" s="115" t="s">
        <v>565</v>
      </c>
      <c r="D58">
        <v>100</v>
      </c>
    </row>
    <row r="59" spans="2:4" ht="15">
      <c r="B59" s="115" t="s">
        <v>564</v>
      </c>
      <c r="D59">
        <f>ROUND(D58/2*3.6,0)</f>
        <v>180</v>
      </c>
    </row>
    <row r="60" spans="2:5" ht="15">
      <c r="B60" s="115" t="s">
        <v>560</v>
      </c>
      <c r="E60">
        <f>D59</f>
        <v>180</v>
      </c>
    </row>
    <row r="61" spans="2:5" ht="15">
      <c r="B61" s="115" t="s">
        <v>566</v>
      </c>
      <c r="E61">
        <f>ROUND(E60/2*3.6,0)</f>
        <v>324</v>
      </c>
    </row>
    <row r="62" spans="2:6" ht="15">
      <c r="B62" s="115" t="s">
        <v>561</v>
      </c>
      <c r="F62">
        <f>E61</f>
        <v>324</v>
      </c>
    </row>
    <row r="63" spans="2:6" ht="15">
      <c r="B63" s="115" t="s">
        <v>567</v>
      </c>
      <c r="F63">
        <f>ROUND(F62/2*3.6,0)</f>
        <v>583</v>
      </c>
    </row>
    <row r="64" spans="2:7" ht="15">
      <c r="B64" s="115" t="s">
        <v>562</v>
      </c>
      <c r="G64">
        <f>F63</f>
        <v>583</v>
      </c>
    </row>
    <row r="65" spans="2:7" ht="15">
      <c r="B65" s="115" t="s">
        <v>568</v>
      </c>
      <c r="G65">
        <f>ROUND(G64/2*3.6,0)</f>
        <v>1049</v>
      </c>
    </row>
    <row r="66" spans="2:8" ht="15">
      <c r="B66" s="115" t="s">
        <v>570</v>
      </c>
      <c r="H66">
        <f>G65</f>
        <v>1049</v>
      </c>
    </row>
    <row r="67" spans="2:8" ht="15">
      <c r="B67" s="115" t="s">
        <v>571</v>
      </c>
      <c r="H67">
        <f>ROUND(H66/2*3.6,0)</f>
        <v>1888</v>
      </c>
    </row>
    <row r="68" spans="2:9" ht="15">
      <c r="B68" s="115" t="s">
        <v>572</v>
      </c>
      <c r="I68">
        <f>H67</f>
        <v>1888</v>
      </c>
    </row>
    <row r="69" spans="2:9" ht="15">
      <c r="B69" s="115" t="s">
        <v>573</v>
      </c>
      <c r="I69">
        <f>ROUND(I68/2*3.6,0)</f>
        <v>3398</v>
      </c>
    </row>
    <row r="70" spans="2:10" ht="15">
      <c r="B70" s="115" t="s">
        <v>574</v>
      </c>
      <c r="J70">
        <f>I69</f>
        <v>3398</v>
      </c>
    </row>
    <row r="71" spans="2:10" ht="15">
      <c r="B71" s="115" t="s">
        <v>575</v>
      </c>
      <c r="J71">
        <f>ROUND(J70/2*3.6,0)</f>
        <v>6116</v>
      </c>
    </row>
    <row r="72" spans="2:11" ht="15">
      <c r="B72" s="115" t="s">
        <v>580</v>
      </c>
      <c r="K72">
        <f>J71</f>
        <v>6116</v>
      </c>
    </row>
    <row r="73" spans="2:11" ht="15">
      <c r="B73" s="115" t="s">
        <v>581</v>
      </c>
      <c r="K73">
        <f>ROUND(K72/2*3.6,0)</f>
        <v>11009</v>
      </c>
    </row>
    <row r="74" spans="2:12" ht="15">
      <c r="B74" s="115" t="s">
        <v>582</v>
      </c>
      <c r="L74">
        <f>K73</f>
        <v>11009</v>
      </c>
    </row>
    <row r="75" spans="2:12" ht="15">
      <c r="B75" s="115" t="s">
        <v>583</v>
      </c>
      <c r="L75">
        <f>ROUND(L74/2*3.6,0)</f>
        <v>19816</v>
      </c>
    </row>
    <row r="76" ht="15">
      <c r="B76" s="115"/>
    </row>
    <row r="77" spans="2:20" ht="15">
      <c r="B77" s="116" t="s">
        <v>569</v>
      </c>
      <c r="F77" s="116" t="s">
        <v>595</v>
      </c>
      <c r="J77" s="21" t="s">
        <v>1034</v>
      </c>
      <c r="M77" s="113"/>
      <c r="N77" s="113"/>
      <c r="O77" s="113"/>
      <c r="P77" s="113"/>
      <c r="Q77" s="113"/>
      <c r="R77" s="113"/>
      <c r="T77" s="435" t="s">
        <v>412</v>
      </c>
    </row>
    <row r="78" spans="2:20" ht="15">
      <c r="B78" s="115" t="s">
        <v>1019</v>
      </c>
      <c r="D78" s="53">
        <f>C78/SUM(C$78:C$80)</f>
        <v>0</v>
      </c>
      <c r="F78" s="115" t="s">
        <v>405</v>
      </c>
      <c r="G78">
        <f>C57+D59+E61</f>
        <v>604</v>
      </c>
      <c r="H78" s="53">
        <f>G78/SUM(G$78:G$80)</f>
        <v>0.017479380697438866</v>
      </c>
      <c r="J78" s="37" t="s">
        <v>1035</v>
      </c>
      <c r="M78" s="113">
        <f>3.6/2</f>
        <v>1.8</v>
      </c>
      <c r="N78" s="113"/>
      <c r="O78" s="113" t="s">
        <v>1038</v>
      </c>
      <c r="P78" s="113"/>
      <c r="Q78" s="113"/>
      <c r="R78" s="434">
        <f>100*(1+M80)^200</f>
        <v>1849.5902763250779</v>
      </c>
      <c r="T78" s="46">
        <f>R78/C81</f>
        <v>0.6005163234821681</v>
      </c>
    </row>
    <row r="79" spans="2:20" ht="15">
      <c r="B79" s="115" t="s">
        <v>1020</v>
      </c>
      <c r="C79">
        <f>C59+D59+E61+F63+G65*0.75</f>
        <v>1873.75</v>
      </c>
      <c r="D79" s="53">
        <f>C79/SUM(C$78:C$80)</f>
        <v>0.6083603896103896</v>
      </c>
      <c r="F79" s="115" t="s">
        <v>576</v>
      </c>
      <c r="G79">
        <f>F63+G65+H67+I69+J71+K73/2</f>
        <v>18538.5</v>
      </c>
      <c r="H79" s="53">
        <f>G79/SUM(G$78:G$80)</f>
        <v>0.536492548111706</v>
      </c>
      <c r="J79" s="37" t="s">
        <v>1036</v>
      </c>
      <c r="M79" s="113">
        <v>40</v>
      </c>
      <c r="N79" s="113"/>
      <c r="O79" s="113" t="s">
        <v>1039</v>
      </c>
      <c r="P79" s="113"/>
      <c r="Q79" s="113"/>
      <c r="R79" s="434">
        <f>100*(1+M80)^360</f>
        <v>19086.92471140697</v>
      </c>
      <c r="T79" s="46">
        <f>R79/G81</f>
        <v>0.5523636148576753</v>
      </c>
    </row>
    <row r="80" spans="2:18" ht="15">
      <c r="B80" s="115" t="s">
        <v>1021</v>
      </c>
      <c r="C80">
        <f>G65*0.25+H67/2</f>
        <v>1206.25</v>
      </c>
      <c r="D80" s="53">
        <f>C80/SUM(C$78:C$80)</f>
        <v>0.39163961038961037</v>
      </c>
      <c r="F80" s="115" t="s">
        <v>577</v>
      </c>
      <c r="G80">
        <f>K73/2+L75/2</f>
        <v>15412.5</v>
      </c>
      <c r="H80" s="53">
        <f>G80/SUM(G$78:G$80)</f>
        <v>0.44602807119085514</v>
      </c>
      <c r="J80" s="37" t="s">
        <v>1037</v>
      </c>
      <c r="M80" s="113">
        <f>LN(M78)/M79</f>
        <v>0.014694666622552977</v>
      </c>
      <c r="N80" s="113"/>
      <c r="O80" s="113"/>
      <c r="P80" s="113"/>
      <c r="Q80" s="113"/>
      <c r="R80" s="113"/>
    </row>
    <row r="81" spans="2:7" ht="15">
      <c r="B81" s="117" t="s">
        <v>256</v>
      </c>
      <c r="C81">
        <f>SUM(C78:C80)</f>
        <v>3080</v>
      </c>
      <c r="F81" s="115" t="s">
        <v>256</v>
      </c>
      <c r="G81">
        <f>G78+G79+G80</f>
        <v>34555</v>
      </c>
    </row>
    <row r="83" ht="15.75">
      <c r="A83" s="114" t="s">
        <v>584</v>
      </c>
    </row>
    <row r="84" ht="15">
      <c r="B84" s="115" t="s">
        <v>1022</v>
      </c>
    </row>
    <row r="85" ht="15">
      <c r="B85" s="115" t="s">
        <v>1031</v>
      </c>
    </row>
    <row r="87" ht="15">
      <c r="B87" s="116" t="s">
        <v>558</v>
      </c>
    </row>
    <row r="88" spans="2:10" ht="15">
      <c r="B88" s="116" t="s">
        <v>559</v>
      </c>
      <c r="C88" s="21">
        <v>1</v>
      </c>
      <c r="D88" s="21">
        <v>100</v>
      </c>
      <c r="E88" s="21">
        <v>200</v>
      </c>
      <c r="F88" s="21">
        <v>300</v>
      </c>
      <c r="G88" s="21">
        <v>400</v>
      </c>
      <c r="H88" s="21">
        <v>500</v>
      </c>
      <c r="I88" s="21">
        <v>600</v>
      </c>
      <c r="J88" s="21">
        <v>700</v>
      </c>
    </row>
    <row r="89" spans="2:5" ht="15">
      <c r="B89" s="116" t="s">
        <v>589</v>
      </c>
      <c r="C89" s="37" t="s">
        <v>591</v>
      </c>
      <c r="D89" s="37" t="s">
        <v>591</v>
      </c>
      <c r="E89" s="37" t="s">
        <v>588</v>
      </c>
    </row>
    <row r="90" spans="2:7" ht="15">
      <c r="B90" s="116" t="s">
        <v>594</v>
      </c>
      <c r="C90" s="37" t="s">
        <v>591</v>
      </c>
      <c r="D90" s="37" t="s">
        <v>591</v>
      </c>
      <c r="E90" s="37" t="s">
        <v>591</v>
      </c>
      <c r="F90" s="37" t="s">
        <v>591</v>
      </c>
      <c r="G90" s="37" t="s">
        <v>588</v>
      </c>
    </row>
    <row r="91" spans="2:7" ht="15">
      <c r="B91" s="115" t="s">
        <v>563</v>
      </c>
      <c r="C91">
        <v>100</v>
      </c>
      <c r="D91">
        <v>0</v>
      </c>
      <c r="E91">
        <v>0</v>
      </c>
      <c r="F91">
        <v>0</v>
      </c>
      <c r="G91">
        <v>0</v>
      </c>
    </row>
    <row r="92" spans="2:4" ht="15">
      <c r="B92" s="115" t="s">
        <v>565</v>
      </c>
      <c r="D92">
        <v>100</v>
      </c>
    </row>
    <row r="93" spans="2:4" ht="15">
      <c r="B93" s="115" t="s">
        <v>564</v>
      </c>
      <c r="D93">
        <f>ROUND(D92/2*8,0)</f>
        <v>400</v>
      </c>
    </row>
    <row r="94" spans="2:5" ht="15">
      <c r="B94" s="115" t="s">
        <v>560</v>
      </c>
      <c r="E94">
        <f>D93</f>
        <v>400</v>
      </c>
    </row>
    <row r="95" spans="2:5" ht="15">
      <c r="B95" s="115" t="s">
        <v>566</v>
      </c>
      <c r="E95">
        <f>ROUND(E94/2*8,0)</f>
        <v>1600</v>
      </c>
    </row>
    <row r="96" spans="2:6" ht="15">
      <c r="B96" s="115" t="s">
        <v>561</v>
      </c>
      <c r="F96">
        <f>E95</f>
        <v>1600</v>
      </c>
    </row>
    <row r="97" spans="2:6" ht="15">
      <c r="B97" s="115" t="s">
        <v>567</v>
      </c>
      <c r="F97">
        <f>ROUND(F96/2*8,0)</f>
        <v>6400</v>
      </c>
    </row>
    <row r="98" spans="2:7" ht="15">
      <c r="B98" s="115" t="s">
        <v>562</v>
      </c>
      <c r="G98">
        <f>F97</f>
        <v>6400</v>
      </c>
    </row>
    <row r="99" spans="2:7" ht="15">
      <c r="B99" s="115" t="s">
        <v>568</v>
      </c>
      <c r="G99">
        <f>ROUND(G98/2*8,0)</f>
        <v>25600</v>
      </c>
    </row>
    <row r="100" spans="2:8" ht="15">
      <c r="B100" s="115" t="s">
        <v>570</v>
      </c>
      <c r="H100">
        <f>G99</f>
        <v>25600</v>
      </c>
    </row>
    <row r="101" spans="2:8" ht="15">
      <c r="B101" s="115" t="s">
        <v>571</v>
      </c>
      <c r="H101">
        <f>ROUND(H100/2*8,0)</f>
        <v>102400</v>
      </c>
    </row>
    <row r="102" spans="2:9" ht="15">
      <c r="B102" s="115" t="s">
        <v>572</v>
      </c>
      <c r="I102">
        <f>H101</f>
        <v>102400</v>
      </c>
    </row>
    <row r="103" spans="2:9" ht="15">
      <c r="B103" s="115" t="s">
        <v>573</v>
      </c>
      <c r="I103">
        <f>ROUND(I102/2*8,0)</f>
        <v>409600</v>
      </c>
    </row>
    <row r="104" spans="2:10" ht="15">
      <c r="B104" s="115" t="s">
        <v>574</v>
      </c>
      <c r="J104">
        <f>I103</f>
        <v>409600</v>
      </c>
    </row>
    <row r="105" spans="2:10" ht="15">
      <c r="B105" s="115" t="s">
        <v>575</v>
      </c>
      <c r="J105">
        <f>ROUND(J104/2*8,0)</f>
        <v>1638400</v>
      </c>
    </row>
    <row r="106" ht="15">
      <c r="B106" s="115"/>
    </row>
    <row r="107" spans="2:20" ht="15">
      <c r="B107" s="116" t="s">
        <v>569</v>
      </c>
      <c r="F107" s="116" t="s">
        <v>578</v>
      </c>
      <c r="J107" s="21" t="s">
        <v>1034</v>
      </c>
      <c r="M107" s="113"/>
      <c r="N107" s="113"/>
      <c r="O107" s="113"/>
      <c r="P107" s="113"/>
      <c r="Q107" s="113"/>
      <c r="R107" s="113"/>
      <c r="T107" s="435" t="s">
        <v>412</v>
      </c>
    </row>
    <row r="108" spans="2:20" ht="15">
      <c r="B108" s="115" t="s">
        <v>1023</v>
      </c>
      <c r="C108" s="118">
        <v>5</v>
      </c>
      <c r="D108" s="46">
        <f>C108/SUM(C$108:C$110)</f>
        <v>0.0038314176245210726</v>
      </c>
      <c r="F108" s="115" t="s">
        <v>405</v>
      </c>
      <c r="G108" s="118">
        <v>80</v>
      </c>
      <c r="H108" s="46">
        <f>G108/SUM(G$108:G$110)</f>
        <v>0.0037418147801683817</v>
      </c>
      <c r="J108" s="37" t="s">
        <v>1035</v>
      </c>
      <c r="M108" s="113">
        <v>4</v>
      </c>
      <c r="N108" s="113"/>
      <c r="O108" s="113" t="s">
        <v>1038</v>
      </c>
      <c r="P108" s="113"/>
      <c r="Q108" s="113"/>
      <c r="R108" s="434">
        <f>100*(1+M110)^200</f>
        <v>1569.8205216458848</v>
      </c>
      <c r="T108" s="46">
        <f>R108/C111</f>
        <v>1.2029276027937814</v>
      </c>
    </row>
    <row r="109" spans="2:20" ht="15">
      <c r="B109" s="115" t="s">
        <v>1024</v>
      </c>
      <c r="C109">
        <f>C91+D93</f>
        <v>500</v>
      </c>
      <c r="D109" s="46">
        <f>C109/SUM(C$108:C$110)</f>
        <v>0.3831417624521073</v>
      </c>
      <c r="F109" s="115" t="s">
        <v>576</v>
      </c>
      <c r="G109">
        <f>C91+D93+E95+F97</f>
        <v>8500</v>
      </c>
      <c r="H109" s="46">
        <f>G109/SUM(G$108:G$110)</f>
        <v>0.39756782039289057</v>
      </c>
      <c r="J109" s="37" t="s">
        <v>1036</v>
      </c>
      <c r="M109" s="113">
        <v>100</v>
      </c>
      <c r="N109" s="113"/>
      <c r="O109" s="113" t="s">
        <v>1039</v>
      </c>
      <c r="P109" s="113"/>
      <c r="Q109" s="113"/>
      <c r="R109" s="434">
        <f>100*(1+M110)^360</f>
        <v>14207.90366823788</v>
      </c>
      <c r="T109" s="46">
        <f>R109/G111</f>
        <v>0.6645417992627632</v>
      </c>
    </row>
    <row r="110" spans="2:18" ht="15">
      <c r="B110" s="115" t="s">
        <v>585</v>
      </c>
      <c r="C110">
        <f>E95/2</f>
        <v>800</v>
      </c>
      <c r="D110" s="46">
        <f>C110/SUM(C$108:C$110)</f>
        <v>0.6130268199233716</v>
      </c>
      <c r="F110" s="115" t="s">
        <v>577</v>
      </c>
      <c r="G110">
        <f>G99/2</f>
        <v>12800</v>
      </c>
      <c r="H110" s="46">
        <f>G110/SUM(G$108:G$110)</f>
        <v>0.598690364826941</v>
      </c>
      <c r="J110" s="37" t="s">
        <v>1037</v>
      </c>
      <c r="M110" s="113">
        <f>LN(M108)/M109</f>
        <v>0.013862943611198907</v>
      </c>
      <c r="N110" s="113"/>
      <c r="O110" s="113"/>
      <c r="P110" s="113"/>
      <c r="Q110" s="113"/>
      <c r="R110" s="113"/>
    </row>
    <row r="111" spans="2:8" ht="15">
      <c r="B111" s="117" t="s">
        <v>256</v>
      </c>
      <c r="C111">
        <f>SUM(C108:C110)</f>
        <v>1305</v>
      </c>
      <c r="D111" s="53"/>
      <c r="F111" s="115" t="s">
        <v>1040</v>
      </c>
      <c r="G111">
        <f>G108+G109+G110</f>
        <v>21380</v>
      </c>
      <c r="H111" s="53"/>
    </row>
    <row r="113" ht="15.75">
      <c r="A113" s="114" t="s">
        <v>557</v>
      </c>
    </row>
    <row r="114" ht="15">
      <c r="B114" s="115" t="s">
        <v>1025</v>
      </c>
    </row>
    <row r="115" ht="15">
      <c r="B115" s="115" t="s">
        <v>1028</v>
      </c>
    </row>
    <row r="117" ht="15">
      <c r="B117" s="116" t="s">
        <v>558</v>
      </c>
    </row>
    <row r="118" spans="2:10" ht="15">
      <c r="B118" s="116" t="s">
        <v>559</v>
      </c>
      <c r="C118" s="21">
        <v>1</v>
      </c>
      <c r="D118" s="21">
        <v>60</v>
      </c>
      <c r="E118" s="21">
        <v>120</v>
      </c>
      <c r="F118" s="21">
        <v>180</v>
      </c>
      <c r="G118" s="21">
        <v>240</v>
      </c>
      <c r="H118" s="21">
        <v>300</v>
      </c>
      <c r="I118" s="21">
        <v>360</v>
      </c>
      <c r="J118" s="21"/>
    </row>
    <row r="119" spans="2:8" ht="15">
      <c r="B119" s="116" t="s">
        <v>589</v>
      </c>
      <c r="C119" s="37" t="s">
        <v>591</v>
      </c>
      <c r="D119" s="37" t="s">
        <v>591</v>
      </c>
      <c r="E119" s="37" t="s">
        <v>591</v>
      </c>
      <c r="F119" s="37" t="s">
        <v>591</v>
      </c>
      <c r="G119" s="37"/>
      <c r="H119" s="37"/>
    </row>
    <row r="120" spans="2:12" ht="15">
      <c r="B120" s="116" t="s">
        <v>594</v>
      </c>
      <c r="C120" s="37" t="s">
        <v>591</v>
      </c>
      <c r="D120" s="37" t="s">
        <v>591</v>
      </c>
      <c r="E120" s="37" t="s">
        <v>591</v>
      </c>
      <c r="F120" s="37" t="s">
        <v>591</v>
      </c>
      <c r="G120" s="37" t="s">
        <v>591</v>
      </c>
      <c r="H120" s="37" t="s">
        <v>591</v>
      </c>
      <c r="I120" s="37" t="s">
        <v>588</v>
      </c>
      <c r="J120" s="37"/>
      <c r="K120" s="37"/>
      <c r="L120" s="37"/>
    </row>
    <row r="121" spans="2:7" ht="15">
      <c r="B121" s="115" t="s">
        <v>563</v>
      </c>
      <c r="C121">
        <v>100</v>
      </c>
      <c r="D121">
        <v>0</v>
      </c>
      <c r="E121">
        <v>0</v>
      </c>
      <c r="F121">
        <v>0</v>
      </c>
      <c r="G121">
        <v>0</v>
      </c>
    </row>
    <row r="122" spans="2:4" ht="15">
      <c r="B122" s="115" t="s">
        <v>565</v>
      </c>
      <c r="D122">
        <v>100</v>
      </c>
    </row>
    <row r="123" spans="2:4" ht="15">
      <c r="B123" s="115" t="s">
        <v>564</v>
      </c>
      <c r="D123">
        <f>ROUND(D122/2*4.25,0)</f>
        <v>213</v>
      </c>
    </row>
    <row r="124" spans="2:5" ht="15">
      <c r="B124" s="115" t="s">
        <v>560</v>
      </c>
      <c r="E124">
        <f>D123</f>
        <v>213</v>
      </c>
    </row>
    <row r="125" spans="2:5" ht="15">
      <c r="B125" s="115" t="s">
        <v>566</v>
      </c>
      <c r="E125">
        <f>ROUND(E124/2*4.25,0)</f>
        <v>453</v>
      </c>
    </row>
    <row r="126" spans="2:6" ht="15">
      <c r="B126" s="115" t="s">
        <v>561</v>
      </c>
      <c r="F126">
        <f>E125</f>
        <v>453</v>
      </c>
    </row>
    <row r="127" spans="2:6" ht="15">
      <c r="B127" s="115" t="s">
        <v>567</v>
      </c>
      <c r="F127">
        <f>ROUND(F126/2*4.25,0)</f>
        <v>963</v>
      </c>
    </row>
    <row r="128" spans="2:7" ht="15">
      <c r="B128" s="115" t="s">
        <v>562</v>
      </c>
      <c r="G128">
        <f>F127</f>
        <v>963</v>
      </c>
    </row>
    <row r="129" spans="2:7" ht="15">
      <c r="B129" s="115" t="s">
        <v>568</v>
      </c>
      <c r="G129">
        <f>ROUND(G128/2*4.25,0)</f>
        <v>2046</v>
      </c>
    </row>
    <row r="130" spans="2:8" ht="15">
      <c r="B130" s="115" t="s">
        <v>570</v>
      </c>
      <c r="H130">
        <f>G129</f>
        <v>2046</v>
      </c>
    </row>
    <row r="131" spans="2:8" ht="15">
      <c r="B131" s="115" t="s">
        <v>571</v>
      </c>
      <c r="H131">
        <f>ROUND(H130/2*4.25,0)</f>
        <v>4348</v>
      </c>
    </row>
    <row r="132" spans="2:9" ht="15">
      <c r="B132" s="115" t="s">
        <v>572</v>
      </c>
      <c r="I132">
        <f>H131</f>
        <v>4348</v>
      </c>
    </row>
    <row r="133" spans="2:9" ht="15">
      <c r="B133" s="115" t="s">
        <v>573</v>
      </c>
      <c r="I133">
        <f>ROUND(I132/2*4.25,0)</f>
        <v>9240</v>
      </c>
    </row>
    <row r="134" ht="15">
      <c r="B134" s="115" t="s">
        <v>574</v>
      </c>
    </row>
    <row r="135" ht="15">
      <c r="B135" s="115" t="s">
        <v>575</v>
      </c>
    </row>
    <row r="136" ht="15">
      <c r="B136" s="115"/>
    </row>
    <row r="137" spans="2:20" ht="15">
      <c r="B137" s="116" t="s">
        <v>569</v>
      </c>
      <c r="F137" s="116" t="s">
        <v>578</v>
      </c>
      <c r="J137" s="21" t="s">
        <v>1034</v>
      </c>
      <c r="M137" s="113"/>
      <c r="N137" s="113"/>
      <c r="O137" s="113"/>
      <c r="T137" s="435" t="s">
        <v>412</v>
      </c>
    </row>
    <row r="138" spans="2:20" ht="15">
      <c r="B138" s="115" t="s">
        <v>1026</v>
      </c>
      <c r="C138">
        <v>0</v>
      </c>
      <c r="D138" s="53">
        <f>C138/SUM(C$138:C$140)</f>
        <v>0</v>
      </c>
      <c r="F138" s="115" t="s">
        <v>405</v>
      </c>
      <c r="G138">
        <v>0</v>
      </c>
      <c r="H138" s="53">
        <f>G138/SUM(G$138:G$140)</f>
        <v>0</v>
      </c>
      <c r="J138" s="37" t="s">
        <v>1035</v>
      </c>
      <c r="M138" s="113">
        <f>4.25/2</f>
        <v>2.125</v>
      </c>
      <c r="N138" s="113"/>
      <c r="O138" s="113" t="s">
        <v>1038</v>
      </c>
      <c r="R138" s="434">
        <f>100*(1+M140)^200</f>
        <v>1214.504260684026</v>
      </c>
      <c r="T138" s="46">
        <f>R138/C141</f>
        <v>0.7024316140451278</v>
      </c>
    </row>
    <row r="139" spans="2:20" ht="15">
      <c r="B139" s="115" t="s">
        <v>1027</v>
      </c>
      <c r="C139">
        <f>C121+D123+E125</f>
        <v>766</v>
      </c>
      <c r="D139" s="53">
        <f>C139/SUM(C$138:C$140)</f>
        <v>0.44303065355696936</v>
      </c>
      <c r="F139" s="115" t="s">
        <v>576</v>
      </c>
      <c r="G139">
        <f>C121+D123+E125+F127+G129+H131</f>
        <v>8123</v>
      </c>
      <c r="H139" s="53">
        <f>G139/SUM(G$138:G$140)</f>
        <v>0.6374480106725261</v>
      </c>
      <c r="J139" s="37" t="s">
        <v>1036</v>
      </c>
      <c r="M139" s="113">
        <v>60</v>
      </c>
      <c r="N139" s="113"/>
      <c r="O139" s="113" t="s">
        <v>1039</v>
      </c>
      <c r="R139" s="434">
        <f>100*(1+M140)^360</f>
        <v>8951.962966779054</v>
      </c>
      <c r="T139" s="46">
        <f>R139/G141</f>
        <v>0.7025004290025154</v>
      </c>
    </row>
    <row r="140" spans="2:15" ht="15">
      <c r="B140" s="115" t="s">
        <v>585</v>
      </c>
      <c r="C140">
        <f>F127</f>
        <v>963</v>
      </c>
      <c r="D140" s="53">
        <f>C140/SUM(C$138:C$140)</f>
        <v>0.5569693464430306</v>
      </c>
      <c r="F140" s="115" t="s">
        <v>577</v>
      </c>
      <c r="G140">
        <f>I133/2</f>
        <v>4620</v>
      </c>
      <c r="H140" s="53">
        <f>G140/SUM(G$138:G$140)</f>
        <v>0.3625519893274739</v>
      </c>
      <c r="J140" s="37" t="s">
        <v>1037</v>
      </c>
      <c r="M140" s="113">
        <f>LN(M138)/M139</f>
        <v>0.01256286337293967</v>
      </c>
      <c r="N140" s="113"/>
      <c r="O140" s="113"/>
    </row>
    <row r="141" spans="2:8" ht="15">
      <c r="B141" s="117" t="s">
        <v>256</v>
      </c>
      <c r="C141">
        <f>SUM(C138:C140)</f>
        <v>1729</v>
      </c>
      <c r="D141" s="53"/>
      <c r="F141" s="115" t="s">
        <v>256</v>
      </c>
      <c r="G141">
        <f>G138+G139+G140</f>
        <v>12743</v>
      </c>
      <c r="H141" s="53"/>
    </row>
    <row r="143" ht="15.75">
      <c r="A143" s="114" t="s">
        <v>586</v>
      </c>
    </row>
    <row r="144" ht="15">
      <c r="B144" s="115" t="s">
        <v>587</v>
      </c>
    </row>
    <row r="145" ht="15">
      <c r="B145" s="115" t="s">
        <v>1029</v>
      </c>
    </row>
    <row r="147" ht="15">
      <c r="B147" s="116" t="s">
        <v>558</v>
      </c>
    </row>
    <row r="148" spans="2:12" ht="15">
      <c r="B148" s="116" t="s">
        <v>559</v>
      </c>
      <c r="C148" s="21">
        <v>1</v>
      </c>
      <c r="D148" s="21">
        <v>40</v>
      </c>
      <c r="E148" s="21">
        <v>80</v>
      </c>
      <c r="F148" s="21">
        <v>120</v>
      </c>
      <c r="G148" s="21">
        <v>160</v>
      </c>
      <c r="H148" s="21">
        <v>200</v>
      </c>
      <c r="I148" s="21">
        <v>240</v>
      </c>
      <c r="J148" s="21">
        <v>280</v>
      </c>
      <c r="K148" s="21">
        <v>320</v>
      </c>
      <c r="L148" s="21">
        <v>360</v>
      </c>
    </row>
    <row r="149" spans="2:8" ht="15">
      <c r="B149" s="116" t="s">
        <v>589</v>
      </c>
      <c r="D149" s="37" t="s">
        <v>590</v>
      </c>
      <c r="E149" s="37" t="s">
        <v>588</v>
      </c>
      <c r="F149" s="37" t="s">
        <v>591</v>
      </c>
      <c r="G149" s="37" t="s">
        <v>591</v>
      </c>
      <c r="H149" s="37" t="s">
        <v>592</v>
      </c>
    </row>
    <row r="150" spans="2:12" ht="15">
      <c r="B150" s="116" t="s">
        <v>593</v>
      </c>
      <c r="D150" s="37"/>
      <c r="E150" s="37"/>
      <c r="F150" s="37"/>
      <c r="G150" s="37"/>
      <c r="H150" s="37" t="s">
        <v>590</v>
      </c>
      <c r="I150" s="37" t="s">
        <v>588</v>
      </c>
      <c r="J150" s="37" t="s">
        <v>591</v>
      </c>
      <c r="K150" s="37" t="s">
        <v>591</v>
      </c>
      <c r="L150" s="37" t="s">
        <v>592</v>
      </c>
    </row>
    <row r="151" spans="2:3" ht="15">
      <c r="B151" s="115" t="s">
        <v>563</v>
      </c>
      <c r="C151">
        <v>100</v>
      </c>
    </row>
    <row r="152" spans="2:4" ht="15">
      <c r="B152" s="115" t="s">
        <v>565</v>
      </c>
      <c r="D152">
        <v>100</v>
      </c>
    </row>
    <row r="153" spans="2:4" ht="15">
      <c r="B153" s="115" t="s">
        <v>564</v>
      </c>
      <c r="D153">
        <f>ROUND(D152/2*4,0)</f>
        <v>200</v>
      </c>
    </row>
    <row r="154" spans="2:5" ht="15">
      <c r="B154" s="115" t="s">
        <v>560</v>
      </c>
      <c r="E154">
        <f>D153</f>
        <v>200</v>
      </c>
    </row>
    <row r="155" spans="2:5" ht="15">
      <c r="B155" s="115" t="s">
        <v>566</v>
      </c>
      <c r="E155">
        <f>ROUND(E154/2*4,0)</f>
        <v>400</v>
      </c>
    </row>
    <row r="156" spans="2:6" ht="15">
      <c r="B156" s="115" t="s">
        <v>561</v>
      </c>
      <c r="F156">
        <f>E155</f>
        <v>400</v>
      </c>
    </row>
    <row r="157" spans="2:6" ht="15">
      <c r="B157" s="115" t="s">
        <v>567</v>
      </c>
      <c r="F157">
        <f>ROUND(F156/2*4,0)</f>
        <v>800</v>
      </c>
    </row>
    <row r="158" spans="2:7" ht="15">
      <c r="B158" s="115" t="s">
        <v>562</v>
      </c>
      <c r="G158">
        <f>F157</f>
        <v>800</v>
      </c>
    </row>
    <row r="159" spans="2:7" ht="15">
      <c r="B159" s="115" t="s">
        <v>568</v>
      </c>
      <c r="G159">
        <f>ROUND(G158/2*4,0)</f>
        <v>1600</v>
      </c>
    </row>
    <row r="160" spans="2:8" ht="15">
      <c r="B160" s="115" t="s">
        <v>570</v>
      </c>
      <c r="H160">
        <f>G159</f>
        <v>1600</v>
      </c>
    </row>
    <row r="161" spans="2:8" ht="15">
      <c r="B161" s="115" t="s">
        <v>571</v>
      </c>
      <c r="H161">
        <f>ROUND(H160/2*4,0)</f>
        <v>3200</v>
      </c>
    </row>
    <row r="162" spans="2:9" ht="15">
      <c r="B162" s="115" t="s">
        <v>572</v>
      </c>
      <c r="I162">
        <f>H161</f>
        <v>3200</v>
      </c>
    </row>
    <row r="163" spans="2:9" ht="15">
      <c r="B163" s="115" t="s">
        <v>573</v>
      </c>
      <c r="I163">
        <f>ROUND(I162/2*4,0)</f>
        <v>6400</v>
      </c>
    </row>
    <row r="164" spans="2:10" ht="15">
      <c r="B164" s="115" t="s">
        <v>574</v>
      </c>
      <c r="J164">
        <f>I163</f>
        <v>6400</v>
      </c>
    </row>
    <row r="165" spans="2:10" ht="15">
      <c r="B165" s="115" t="s">
        <v>575</v>
      </c>
      <c r="J165">
        <f>ROUND(J164/2*4,0)</f>
        <v>12800</v>
      </c>
    </row>
    <row r="166" spans="2:11" ht="15">
      <c r="B166" s="115" t="s">
        <v>580</v>
      </c>
      <c r="K166">
        <f>J165</f>
        <v>12800</v>
      </c>
    </row>
    <row r="167" spans="2:11" ht="15">
      <c r="B167" s="115" t="s">
        <v>581</v>
      </c>
      <c r="K167">
        <f>ROUND(K166/2*4,0)</f>
        <v>25600</v>
      </c>
    </row>
    <row r="168" spans="2:12" ht="15">
      <c r="B168" s="115" t="s">
        <v>582</v>
      </c>
      <c r="L168">
        <f>K167</f>
        <v>25600</v>
      </c>
    </row>
    <row r="169" spans="2:12" ht="15">
      <c r="B169" s="115" t="s">
        <v>583</v>
      </c>
      <c r="L169">
        <f>ROUND(L168/2*4,0)</f>
        <v>51200</v>
      </c>
    </row>
    <row r="170" ht="15">
      <c r="B170" s="115"/>
    </row>
    <row r="171" spans="2:20" ht="15">
      <c r="B171" s="116" t="s">
        <v>569</v>
      </c>
      <c r="F171" s="116" t="s">
        <v>578</v>
      </c>
      <c r="J171" s="21" t="s">
        <v>1034</v>
      </c>
      <c r="M171" s="113"/>
      <c r="N171" s="113"/>
      <c r="O171" s="113"/>
      <c r="T171" s="435" t="s">
        <v>412</v>
      </c>
    </row>
    <row r="172" spans="2:20" ht="15">
      <c r="B172" s="115" t="s">
        <v>612</v>
      </c>
      <c r="C172">
        <f>E155/2</f>
        <v>200</v>
      </c>
      <c r="D172" s="53">
        <f>C172/SUM(C$172:C$174)</f>
        <v>0.047619047619047616</v>
      </c>
      <c r="F172" s="115" t="s">
        <v>405</v>
      </c>
      <c r="G172">
        <f>I163/2</f>
        <v>3200</v>
      </c>
      <c r="H172" s="53">
        <f>G172/SUM(G$172:G$174)</f>
        <v>0.047619047619047616</v>
      </c>
      <c r="J172" s="37" t="s">
        <v>1035</v>
      </c>
      <c r="M172" s="113">
        <v>2</v>
      </c>
      <c r="N172" s="113"/>
      <c r="O172" s="113" t="s">
        <v>1038</v>
      </c>
      <c r="R172" s="434">
        <f>100*(1+M174)^200</f>
        <v>3106.401400344678</v>
      </c>
      <c r="T172" s="46">
        <f>R172/C175</f>
        <v>0.7396193810344472</v>
      </c>
    </row>
    <row r="173" spans="2:20" ht="15">
      <c r="B173" s="115" t="s">
        <v>613</v>
      </c>
      <c r="C173">
        <f>F157+G159+H161*0.15</f>
        <v>2880</v>
      </c>
      <c r="D173" s="53">
        <f>C173/SUM(C$172:C$174)</f>
        <v>0.6857142857142857</v>
      </c>
      <c r="F173" s="115" t="s">
        <v>576</v>
      </c>
      <c r="G173">
        <f>J165+K167+L169*0.1</f>
        <v>43520</v>
      </c>
      <c r="H173" s="53">
        <f>G173/SUM(G$172:G$174)</f>
        <v>0.6476190476190476</v>
      </c>
      <c r="J173" s="37" t="s">
        <v>1036</v>
      </c>
      <c r="M173" s="113">
        <v>40</v>
      </c>
      <c r="N173" s="113"/>
      <c r="O173" s="113" t="s">
        <v>1039</v>
      </c>
      <c r="R173" s="434">
        <f>100*(1+M174)^360</f>
        <v>48535.96088809503</v>
      </c>
      <c r="T173" s="46">
        <f>R173/G175</f>
        <v>0.7222613227395094</v>
      </c>
    </row>
    <row r="174" spans="2:15" ht="15">
      <c r="B174" s="115" t="s">
        <v>609</v>
      </c>
      <c r="C174">
        <f>H161*0.35</f>
        <v>1120</v>
      </c>
      <c r="D174" s="53">
        <f>C174/SUM(C$172:C$174)</f>
        <v>0.26666666666666666</v>
      </c>
      <c r="F174" s="115" t="s">
        <v>577</v>
      </c>
      <c r="G174">
        <f>L169*0.4</f>
        <v>20480</v>
      </c>
      <c r="H174" s="53">
        <f>G174/SUM(G$172:G$174)</f>
        <v>0.3047619047619048</v>
      </c>
      <c r="J174" s="37" t="s">
        <v>1037</v>
      </c>
      <c r="M174" s="113">
        <f>LN(M172)/M173</f>
        <v>0.01732867951399863</v>
      </c>
      <c r="N174" s="113"/>
      <c r="O174" s="113"/>
    </row>
    <row r="175" spans="2:7" ht="15">
      <c r="B175" s="117" t="s">
        <v>256</v>
      </c>
      <c r="C175">
        <f>SUM(C172:C174)</f>
        <v>4200</v>
      </c>
      <c r="F175" s="115" t="s">
        <v>256</v>
      </c>
      <c r="G175">
        <f>G172+G173+G174</f>
        <v>67200</v>
      </c>
    </row>
    <row r="178" ht="15.75">
      <c r="A178" s="114" t="s">
        <v>614</v>
      </c>
    </row>
    <row r="179" ht="15">
      <c r="B179" s="115" t="s">
        <v>615</v>
      </c>
    </row>
    <row r="180" spans="2:11" ht="15">
      <c r="B180" s="115" t="s">
        <v>1030</v>
      </c>
      <c r="K180">
        <v>2.8</v>
      </c>
    </row>
    <row r="182" ht="15">
      <c r="B182" s="116" t="s">
        <v>558</v>
      </c>
    </row>
    <row r="183" spans="2:18" ht="15">
      <c r="B183" s="116" t="s">
        <v>559</v>
      </c>
      <c r="C183" s="21">
        <v>1</v>
      </c>
      <c r="D183" s="21">
        <v>14</v>
      </c>
      <c r="E183" s="21">
        <v>28</v>
      </c>
      <c r="F183" s="21">
        <v>42</v>
      </c>
      <c r="G183" s="21">
        <v>56</v>
      </c>
      <c r="H183" s="21">
        <v>70</v>
      </c>
      <c r="I183" s="21">
        <v>84</v>
      </c>
      <c r="J183" s="21">
        <v>98</v>
      </c>
      <c r="K183" s="21">
        <v>112</v>
      </c>
      <c r="L183" s="21">
        <v>126</v>
      </c>
      <c r="M183" s="21">
        <v>140</v>
      </c>
      <c r="N183" s="21">
        <v>154</v>
      </c>
      <c r="O183" s="21">
        <v>168</v>
      </c>
      <c r="P183" s="21">
        <v>182</v>
      </c>
      <c r="Q183" s="21">
        <v>196</v>
      </c>
      <c r="R183" s="21">
        <v>210</v>
      </c>
    </row>
    <row r="184" spans="2:18" ht="15">
      <c r="B184" s="116" t="s">
        <v>589</v>
      </c>
      <c r="C184" s="37"/>
      <c r="D184" s="37"/>
      <c r="E184" s="37"/>
      <c r="F184" s="37"/>
      <c r="G184" s="37"/>
      <c r="H184" s="37"/>
      <c r="M184" s="37"/>
      <c r="N184" s="37" t="s">
        <v>618</v>
      </c>
      <c r="O184" s="37" t="s">
        <v>591</v>
      </c>
      <c r="P184" s="37" t="s">
        <v>591</v>
      </c>
      <c r="Q184" s="37" t="s">
        <v>591</v>
      </c>
      <c r="R184" s="37" t="s">
        <v>616</v>
      </c>
    </row>
    <row r="185" spans="2:7" ht="15">
      <c r="B185" s="115" t="s">
        <v>563</v>
      </c>
      <c r="C185">
        <v>100</v>
      </c>
      <c r="D185">
        <v>0</v>
      </c>
      <c r="E185">
        <v>0</v>
      </c>
      <c r="F185">
        <v>0</v>
      </c>
      <c r="G185">
        <v>0</v>
      </c>
    </row>
    <row r="186" spans="2:4" ht="15">
      <c r="B186" s="115" t="s">
        <v>565</v>
      </c>
      <c r="D186">
        <v>100</v>
      </c>
    </row>
    <row r="187" spans="2:4" ht="15">
      <c r="B187" s="115" t="s">
        <v>564</v>
      </c>
      <c r="D187">
        <f>ROUND(D186/2*K180,0)</f>
        <v>140</v>
      </c>
    </row>
    <row r="188" spans="2:5" ht="15">
      <c r="B188" s="115" t="s">
        <v>560</v>
      </c>
      <c r="E188">
        <f>D187</f>
        <v>140</v>
      </c>
    </row>
    <row r="189" spans="2:5" ht="15">
      <c r="B189" s="115" t="s">
        <v>566</v>
      </c>
      <c r="E189">
        <f>ROUND(E188/2*$K$180,0)</f>
        <v>196</v>
      </c>
    </row>
    <row r="190" spans="2:6" ht="15">
      <c r="B190" s="115" t="s">
        <v>561</v>
      </c>
      <c r="F190">
        <f>E189</f>
        <v>196</v>
      </c>
    </row>
    <row r="191" spans="2:6" ht="15">
      <c r="B191" s="115" t="s">
        <v>567</v>
      </c>
      <c r="F191">
        <f>ROUND(F190/2*$K$180,0)</f>
        <v>274</v>
      </c>
    </row>
    <row r="192" spans="2:7" ht="15">
      <c r="B192" s="115" t="s">
        <v>562</v>
      </c>
      <c r="G192">
        <f>F191</f>
        <v>274</v>
      </c>
    </row>
    <row r="193" spans="2:7" ht="15">
      <c r="B193" s="115" t="s">
        <v>568</v>
      </c>
      <c r="G193">
        <f>ROUND(G192/2*$K$180,0)</f>
        <v>384</v>
      </c>
    </row>
    <row r="194" spans="2:8" ht="15">
      <c r="B194" s="115" t="s">
        <v>570</v>
      </c>
      <c r="H194">
        <f>G193</f>
        <v>384</v>
      </c>
    </row>
    <row r="195" spans="2:8" ht="15">
      <c r="B195" s="115" t="s">
        <v>571</v>
      </c>
      <c r="H195">
        <f>ROUND(H194/2*$K$180,0)</f>
        <v>538</v>
      </c>
    </row>
    <row r="196" spans="2:9" ht="15">
      <c r="B196" s="115" t="s">
        <v>572</v>
      </c>
      <c r="I196">
        <f>H195</f>
        <v>538</v>
      </c>
    </row>
    <row r="197" spans="2:9" ht="15">
      <c r="B197" s="115" t="s">
        <v>573</v>
      </c>
      <c r="I197">
        <f>ROUND(I196/2*$K$180,0)</f>
        <v>753</v>
      </c>
    </row>
    <row r="198" spans="2:10" ht="15">
      <c r="B198" s="115" t="s">
        <v>574</v>
      </c>
      <c r="J198">
        <f>I197</f>
        <v>753</v>
      </c>
    </row>
    <row r="199" spans="2:10" ht="15">
      <c r="B199" s="115" t="s">
        <v>575</v>
      </c>
      <c r="J199">
        <f>ROUND(J198/2*$K$180,0)</f>
        <v>1054</v>
      </c>
    </row>
    <row r="200" spans="2:11" ht="15">
      <c r="B200" s="115" t="s">
        <v>580</v>
      </c>
      <c r="K200">
        <f>J199</f>
        <v>1054</v>
      </c>
    </row>
    <row r="201" spans="2:11" ht="15">
      <c r="B201" s="115" t="s">
        <v>581</v>
      </c>
      <c r="K201">
        <f>ROUND(K200/2*$K$180,0)</f>
        <v>1476</v>
      </c>
    </row>
    <row r="202" spans="2:18" ht="15">
      <c r="B202" s="115" t="s">
        <v>582</v>
      </c>
      <c r="L202">
        <f>K201</f>
        <v>1476</v>
      </c>
      <c r="M202" s="113"/>
      <c r="N202" s="113"/>
      <c r="O202" s="113"/>
      <c r="P202" s="113"/>
      <c r="Q202" s="113"/>
      <c r="R202" s="113"/>
    </row>
    <row r="203" spans="2:18" ht="15">
      <c r="B203" s="115" t="s">
        <v>583</v>
      </c>
      <c r="L203">
        <f>ROUND(L202/2*$K$180,0)</f>
        <v>2066</v>
      </c>
      <c r="M203" s="113"/>
      <c r="N203" s="113"/>
      <c r="O203" s="113"/>
      <c r="P203" s="113"/>
      <c r="Q203" s="113"/>
      <c r="R203" s="113"/>
    </row>
    <row r="204" spans="2:18" ht="15">
      <c r="B204" s="115" t="s">
        <v>596</v>
      </c>
      <c r="M204">
        <f>L203</f>
        <v>2066</v>
      </c>
      <c r="N204" s="113"/>
      <c r="O204" s="113"/>
      <c r="P204" s="113"/>
      <c r="Q204" s="113"/>
      <c r="R204" s="113"/>
    </row>
    <row r="205" spans="2:18" ht="15">
      <c r="B205" s="115" t="s">
        <v>597</v>
      </c>
      <c r="M205">
        <f>ROUND(M204/2*$K$180,0)</f>
        <v>2892</v>
      </c>
      <c r="N205" s="113"/>
      <c r="O205" s="113"/>
      <c r="P205" s="113"/>
      <c r="Q205" s="113"/>
      <c r="R205" s="113"/>
    </row>
    <row r="206" spans="2:18" ht="15">
      <c r="B206" s="115" t="s">
        <v>598</v>
      </c>
      <c r="N206">
        <f>M205</f>
        <v>2892</v>
      </c>
      <c r="O206" s="113"/>
      <c r="P206" s="113"/>
      <c r="Q206" s="113"/>
      <c r="R206" s="113"/>
    </row>
    <row r="207" spans="2:18" ht="15">
      <c r="B207" s="115" t="s">
        <v>599</v>
      </c>
      <c r="M207" s="113"/>
      <c r="N207">
        <f>ROUND(N206/2*$K$180,0)</f>
        <v>4049</v>
      </c>
      <c r="O207" s="113"/>
      <c r="P207" s="113"/>
      <c r="Q207" s="113"/>
      <c r="R207" s="113"/>
    </row>
    <row r="208" spans="2:18" ht="15">
      <c r="B208" s="115" t="s">
        <v>600</v>
      </c>
      <c r="M208" s="113"/>
      <c r="O208">
        <f>N207</f>
        <v>4049</v>
      </c>
      <c r="P208" s="113"/>
      <c r="Q208" s="113"/>
      <c r="R208" s="113"/>
    </row>
    <row r="209" spans="2:18" ht="15">
      <c r="B209" s="115" t="s">
        <v>601</v>
      </c>
      <c r="M209" s="113"/>
      <c r="N209" s="113"/>
      <c r="O209">
        <f>ROUND(O208/2*$K$180,0)</f>
        <v>5669</v>
      </c>
      <c r="P209" s="113"/>
      <c r="Q209" s="113"/>
      <c r="R209" s="113"/>
    </row>
    <row r="210" spans="2:18" ht="15">
      <c r="B210" s="115" t="s">
        <v>602</v>
      </c>
      <c r="M210" s="113"/>
      <c r="N210" s="113"/>
      <c r="P210">
        <f>O209</f>
        <v>5669</v>
      </c>
      <c r="Q210" s="113"/>
      <c r="R210" s="113"/>
    </row>
    <row r="211" spans="2:18" ht="15">
      <c r="B211" s="115" t="s">
        <v>603</v>
      </c>
      <c r="M211" s="113"/>
      <c r="N211" s="113"/>
      <c r="O211" s="113"/>
      <c r="P211">
        <f>ROUND(P210/2*$K$180,0)</f>
        <v>7937</v>
      </c>
      <c r="Q211" s="113"/>
      <c r="R211" s="113"/>
    </row>
    <row r="212" spans="2:18" ht="15">
      <c r="B212" s="115" t="s">
        <v>604</v>
      </c>
      <c r="M212" s="113"/>
      <c r="N212" s="113"/>
      <c r="O212" s="113"/>
      <c r="Q212">
        <f>P211</f>
        <v>7937</v>
      </c>
      <c r="R212" s="113"/>
    </row>
    <row r="213" spans="2:18" ht="15">
      <c r="B213" s="115" t="s">
        <v>605</v>
      </c>
      <c r="M213" s="113"/>
      <c r="N213" s="113"/>
      <c r="O213" s="113"/>
      <c r="P213" s="113"/>
      <c r="Q213">
        <f>ROUND(Q212/2*$K$180,0)</f>
        <v>11112</v>
      </c>
      <c r="R213" s="113"/>
    </row>
    <row r="214" spans="2:18" ht="15">
      <c r="B214" s="115" t="s">
        <v>606</v>
      </c>
      <c r="M214" s="113"/>
      <c r="N214" s="113"/>
      <c r="O214" s="113"/>
      <c r="P214" s="113"/>
      <c r="R214">
        <f>Q213</f>
        <v>11112</v>
      </c>
    </row>
    <row r="215" spans="2:18" ht="15">
      <c r="B215" s="115" t="s">
        <v>607</v>
      </c>
      <c r="M215" s="113"/>
      <c r="N215" s="113"/>
      <c r="O215" s="113"/>
      <c r="P215" s="113"/>
      <c r="Q215" s="113"/>
      <c r="R215">
        <f>ROUND(R214/2*$K$180,0)</f>
        <v>15557</v>
      </c>
    </row>
    <row r="216" spans="2:17" ht="15">
      <c r="B216" s="115"/>
      <c r="M216" s="113"/>
      <c r="N216" s="113"/>
      <c r="O216" s="113"/>
      <c r="P216" s="113"/>
      <c r="Q216" s="113"/>
    </row>
    <row r="217" spans="2:18" ht="15">
      <c r="B217" s="116" t="s">
        <v>569</v>
      </c>
      <c r="F217" s="21" t="s">
        <v>1034</v>
      </c>
      <c r="I217" s="113"/>
      <c r="J217" s="113"/>
      <c r="K217" s="113"/>
      <c r="O217" s="113"/>
      <c r="P217" s="435" t="s">
        <v>412</v>
      </c>
      <c r="Q217" s="113"/>
      <c r="R217" s="113"/>
    </row>
    <row r="218" spans="2:18" ht="15">
      <c r="B218" s="115" t="s">
        <v>617</v>
      </c>
      <c r="C218" s="45">
        <f>N207*3/8</f>
        <v>1518.375</v>
      </c>
      <c r="D218" s="46">
        <f>C218/SUM(C$218:C$220)</f>
        <v>0.05470685198029166</v>
      </c>
      <c r="F218" s="37" t="s">
        <v>1035</v>
      </c>
      <c r="I218" s="113">
        <v>1.4</v>
      </c>
      <c r="J218" s="113"/>
      <c r="K218" s="113" t="s">
        <v>1038</v>
      </c>
      <c r="N218" s="434">
        <f>100*(1+I220)^200</f>
        <v>11557.195667162718</v>
      </c>
      <c r="O218" s="113"/>
      <c r="P218" s="46">
        <f>N218/C221</f>
        <v>0.4164042431354171</v>
      </c>
      <c r="Q218" s="113"/>
      <c r="R218" s="113"/>
    </row>
    <row r="219" spans="2:18" ht="15">
      <c r="B219" s="115" t="s">
        <v>619</v>
      </c>
      <c r="C219" s="45">
        <f>N207*3/8+O209+P211</f>
        <v>15124.375</v>
      </c>
      <c r="D219" s="46">
        <f>C219/SUM(C$218:C$220)</f>
        <v>0.5449292463452202</v>
      </c>
      <c r="F219" s="37" t="s">
        <v>1036</v>
      </c>
      <c r="I219" s="113">
        <v>14</v>
      </c>
      <c r="J219" s="113"/>
      <c r="K219" s="113" t="s">
        <v>1039</v>
      </c>
      <c r="N219" s="434">
        <f>100*(1+I220)^360</f>
        <v>516576.25439520855</v>
      </c>
      <c r="O219" s="113"/>
      <c r="P219" s="46"/>
      <c r="Q219" s="113"/>
      <c r="R219" s="113"/>
    </row>
    <row r="220" spans="2:18" ht="15">
      <c r="B220" s="115" t="s">
        <v>620</v>
      </c>
      <c r="C220" s="45">
        <f>Q213</f>
        <v>11112</v>
      </c>
      <c r="D220" s="46">
        <f>C220/SUM(C$218:C$220)</f>
        <v>0.40036390167448815</v>
      </c>
      <c r="F220" s="37" t="s">
        <v>1037</v>
      </c>
      <c r="I220" s="113">
        <f>LN(I218)/I219</f>
        <v>0.02403373118722949</v>
      </c>
      <c r="J220" s="113"/>
      <c r="K220" s="113"/>
      <c r="O220" s="113"/>
      <c r="P220" s="113"/>
      <c r="Q220" s="113"/>
      <c r="R220" s="113"/>
    </row>
    <row r="221" spans="2:18" ht="15">
      <c r="B221" s="117" t="s">
        <v>256</v>
      </c>
      <c r="C221" s="45">
        <f>SUM(C218:C220)</f>
        <v>27754.75</v>
      </c>
      <c r="M221" s="113"/>
      <c r="N221" s="113"/>
      <c r="O221" s="113"/>
      <c r="P221" s="113"/>
      <c r="Q221" s="113"/>
      <c r="R221" s="113"/>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Random village generator</dc:title>
  <dc:subject/>
  <dc:creator>Richard Di Ioia</dc:creator>
  <cp:keywords/>
  <dc:description/>
  <cp:lastModifiedBy>Richard</cp:lastModifiedBy>
  <cp:lastPrinted>2021-06-07T05:11:16Z</cp:lastPrinted>
  <dcterms:created xsi:type="dcterms:W3CDTF">2002-01-13T22:13:54Z</dcterms:created>
  <dcterms:modified xsi:type="dcterms:W3CDTF">2021-06-14T15:36:38Z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6258f46a-5d9a-4452-a013-00791c6d8e7b</vt:lpwstr>
  </property>
  <property fmtid="{D5CDD505-2E9C-101B-9397-08002B2CF9AE}" pid="3" name="Category">
    <vt:lpwstr>C-1</vt:lpwstr>
  </property>
  <property fmtid="{D5CDD505-2E9C-101B-9397-08002B2CF9AE}" pid="4" name="TITUSCategory">
    <vt:lpwstr>C-1</vt:lpwstr>
  </property>
</Properties>
</file>